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3040" windowHeight="8016" activeTab="0"/>
  </bookViews>
  <sheets>
    <sheet name="bilance" sheetId="1" r:id="rId1"/>
    <sheet name="přepočet ze hnojiv na živiny" sheetId="2" r:id="rId2"/>
  </sheets>
  <definedNames/>
  <calcPr fullCalcOnLoad="1"/>
</workbook>
</file>

<file path=xl/sharedStrings.xml><?xml version="1.0" encoding="utf-8"?>
<sst xmlns="http://schemas.openxmlformats.org/spreadsheetml/2006/main" count="377" uniqueCount="322">
  <si>
    <t xml:space="preserve"> Bilance živin a organické hmoty v půdě</t>
  </si>
  <si>
    <t>D</t>
  </si>
  <si>
    <t>Met. 1995</t>
  </si>
  <si>
    <t>Slovensko</t>
  </si>
  <si>
    <t>/</t>
  </si>
  <si>
    <t>Vedlejší produkt (sláma, chrást, nať, …)</t>
  </si>
  <si>
    <t>Obsah živin v hlavním produktu</t>
  </si>
  <si>
    <t>Obsah živin ve vedlejším produktu</t>
  </si>
  <si>
    <t>Celkový export živin</t>
  </si>
  <si>
    <t>Průměrný export živin</t>
  </si>
  <si>
    <t>Symbiotická fixace N</t>
  </si>
  <si>
    <t xml:space="preserve">Hlavní produkt </t>
  </si>
  <si>
    <t>Vedlejší produkt</t>
  </si>
  <si>
    <t>Sklizeň</t>
  </si>
  <si>
    <t>Zapravení do půdy</t>
  </si>
  <si>
    <t>přepočet na OL</t>
  </si>
  <si>
    <t>Zůstal na poli (ha)</t>
  </si>
  <si>
    <t>sušina</t>
  </si>
  <si>
    <t>% OL v suš.</t>
  </si>
  <si>
    <t>% OL ve hnojivu</t>
  </si>
  <si>
    <t>% C ve hnojivu</t>
  </si>
  <si>
    <t>% hum.C</t>
  </si>
  <si>
    <t>hum. koef.</t>
  </si>
  <si>
    <t>dusík (kg N/t)</t>
  </si>
  <si>
    <r>
      <t>fosfor (kg P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5</t>
    </r>
    <r>
      <rPr>
        <b/>
        <sz val="11"/>
        <color indexed="8"/>
        <rFont val="Calibri"/>
        <family val="2"/>
      </rPr>
      <t>/t)</t>
    </r>
  </si>
  <si>
    <r>
      <t>draslík (kg K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O/t)</t>
    </r>
  </si>
  <si>
    <t>OL (t)</t>
  </si>
  <si>
    <t>hum.C (t)</t>
  </si>
  <si>
    <t>dusík (kg N)</t>
  </si>
  <si>
    <r>
      <t>fosfor (kg P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5</t>
    </r>
    <r>
      <rPr>
        <b/>
        <sz val="11"/>
        <color indexed="8"/>
        <rFont val="Calibri"/>
        <family val="2"/>
      </rPr>
      <t>)</t>
    </r>
  </si>
  <si>
    <r>
      <t>draslík (kg K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O)</t>
    </r>
  </si>
  <si>
    <t>Poměr VP:HP (x : 1)</t>
  </si>
  <si>
    <t>Sklizeň slámy (t)</t>
  </si>
  <si>
    <t>Průměrný výnos slámy apod. (t/ha)</t>
  </si>
  <si>
    <t xml:space="preserve">Sláma apod. zapravená do půdy (ha) </t>
  </si>
  <si>
    <t xml:space="preserve">Sláma apod. zapravená do půdy (t) </t>
  </si>
  <si>
    <t>Obsah OL</t>
  </si>
  <si>
    <t>Obsah C</t>
  </si>
  <si>
    <t>obsah hum.C</t>
  </si>
  <si>
    <t>Dodání OL ve VP (t OL)</t>
  </si>
  <si>
    <t>Dodání OL ve VP (t OL/ha)</t>
  </si>
  <si>
    <t>Dodání hum.C (t)</t>
  </si>
  <si>
    <t>Přívod OL v PZ (t/ha)</t>
  </si>
  <si>
    <t>Přívod OL v PZ (t)</t>
  </si>
  <si>
    <t>Přívod OL ve VP (t/ha)</t>
  </si>
  <si>
    <t>Přívod OL ve VP (t)</t>
  </si>
  <si>
    <t>Přívod OL v PZ a VP (t)</t>
  </si>
  <si>
    <r>
      <t>K</t>
    </r>
    <r>
      <rPr>
        <vertAlign val="subscript"/>
        <sz val="11"/>
        <color indexed="56"/>
        <rFont val="Calibri"/>
        <family val="2"/>
      </rPr>
      <t>C</t>
    </r>
    <r>
      <rPr>
        <sz val="11"/>
        <color indexed="56"/>
        <rFont val="Calibri"/>
        <family val="2"/>
      </rPr>
      <t xml:space="preserve"> bez slámy (t C/t HP)</t>
    </r>
  </si>
  <si>
    <r>
      <t>K</t>
    </r>
    <r>
      <rPr>
        <vertAlign val="subscript"/>
        <sz val="11"/>
        <color indexed="56"/>
        <rFont val="Calibri"/>
        <family val="2"/>
      </rPr>
      <t>C</t>
    </r>
    <r>
      <rPr>
        <sz val="11"/>
        <color indexed="56"/>
        <rFont val="Calibri"/>
        <family val="2"/>
      </rPr>
      <t xml:space="preserve"> se slámou (t C/t HP)</t>
    </r>
  </si>
  <si>
    <r>
      <t>K</t>
    </r>
    <r>
      <rPr>
        <i/>
        <vertAlign val="subscript"/>
        <sz val="11"/>
        <color indexed="56"/>
        <rFont val="Calibri"/>
        <family val="2"/>
      </rPr>
      <t>C</t>
    </r>
    <r>
      <rPr>
        <i/>
        <sz val="11"/>
        <color indexed="56"/>
        <rFont val="Calibri"/>
        <family val="2"/>
      </rPr>
      <t xml:space="preserve"> sláma (t C/t HP)</t>
    </r>
  </si>
  <si>
    <r>
      <t>Q</t>
    </r>
    <r>
      <rPr>
        <b/>
        <vertAlign val="subscript"/>
        <sz val="11"/>
        <color indexed="56"/>
        <rFont val="Calibri"/>
        <family val="2"/>
      </rPr>
      <t>R</t>
    </r>
    <r>
      <rPr>
        <b/>
        <sz val="11"/>
        <color indexed="56"/>
        <rFont val="Calibri"/>
        <family val="2"/>
      </rPr>
      <t xml:space="preserve"> bez slámy (t C/ha)</t>
    </r>
  </si>
  <si>
    <r>
      <t>Q</t>
    </r>
    <r>
      <rPr>
        <b/>
        <vertAlign val="subscript"/>
        <sz val="11"/>
        <color indexed="56"/>
        <rFont val="Calibri"/>
        <family val="2"/>
      </rPr>
      <t>R</t>
    </r>
    <r>
      <rPr>
        <b/>
        <sz val="11"/>
        <color indexed="56"/>
        <rFont val="Calibri"/>
        <family val="2"/>
      </rPr>
      <t xml:space="preserve"> se slámou (t C/ha)</t>
    </r>
  </si>
  <si>
    <r>
      <t>Q</t>
    </r>
    <r>
      <rPr>
        <b/>
        <i/>
        <vertAlign val="subscript"/>
        <sz val="11"/>
        <color indexed="56"/>
        <rFont val="Calibri"/>
        <family val="2"/>
      </rPr>
      <t>R</t>
    </r>
    <r>
      <rPr>
        <b/>
        <i/>
        <sz val="11"/>
        <color indexed="56"/>
        <rFont val="Calibri"/>
        <family val="2"/>
      </rPr>
      <t xml:space="preserve"> sláma (t C/ha)</t>
    </r>
  </si>
  <si>
    <t>bez slámy (t OL/ha)</t>
  </si>
  <si>
    <t>se slámou (t OL/ha)</t>
  </si>
  <si>
    <t>sláma (t OL/ha)</t>
  </si>
  <si>
    <t>ČR sláma (t OL/ha)</t>
  </si>
  <si>
    <t>bez slámy (t C)</t>
  </si>
  <si>
    <t>se slámou (t C)</t>
  </si>
  <si>
    <t>celkem (t C)</t>
  </si>
  <si>
    <t>jen sláma (t C)</t>
  </si>
  <si>
    <r>
      <t>fosfor (kg P</t>
    </r>
    <r>
      <rPr>
        <vertAlign val="subscript"/>
        <sz val="11"/>
        <color indexed="10"/>
        <rFont val="Calibri"/>
        <family val="2"/>
      </rPr>
      <t>2</t>
    </r>
    <r>
      <rPr>
        <sz val="11"/>
        <color indexed="10"/>
        <rFont val="Calibri"/>
        <family val="2"/>
      </rPr>
      <t>O</t>
    </r>
    <r>
      <rPr>
        <vertAlign val="subscript"/>
        <sz val="11"/>
        <color indexed="10"/>
        <rFont val="Calibri"/>
        <family val="2"/>
      </rPr>
      <t>5</t>
    </r>
    <r>
      <rPr>
        <sz val="11"/>
        <color indexed="10"/>
        <rFont val="Calibri"/>
        <family val="2"/>
      </rPr>
      <t>)</t>
    </r>
  </si>
  <si>
    <r>
      <t>draslík (kg K</t>
    </r>
    <r>
      <rPr>
        <vertAlign val="subscript"/>
        <sz val="11"/>
        <color indexed="10"/>
        <rFont val="Calibri"/>
        <family val="2"/>
      </rPr>
      <t>2</t>
    </r>
    <r>
      <rPr>
        <sz val="11"/>
        <color indexed="10"/>
        <rFont val="Calibri"/>
        <family val="2"/>
      </rPr>
      <t>O)</t>
    </r>
  </si>
  <si>
    <t>dusík (kg N/ha)</t>
  </si>
  <si>
    <r>
      <t>fosfor (kg P</t>
    </r>
    <r>
      <rPr>
        <vertAlign val="subscript"/>
        <sz val="11"/>
        <color indexed="10"/>
        <rFont val="Calibri"/>
        <family val="2"/>
      </rPr>
      <t>2</t>
    </r>
    <r>
      <rPr>
        <sz val="11"/>
        <color indexed="10"/>
        <rFont val="Calibri"/>
        <family val="2"/>
      </rPr>
      <t>O</t>
    </r>
    <r>
      <rPr>
        <vertAlign val="subscript"/>
        <sz val="11"/>
        <color indexed="10"/>
        <rFont val="Calibri"/>
        <family val="2"/>
      </rPr>
      <t>5</t>
    </r>
    <r>
      <rPr>
        <sz val="11"/>
        <color indexed="10"/>
        <rFont val="Calibri"/>
        <family val="2"/>
      </rPr>
      <t>/ha)</t>
    </r>
  </si>
  <si>
    <r>
      <t>draslík (kg K</t>
    </r>
    <r>
      <rPr>
        <vertAlign val="subscript"/>
        <sz val="11"/>
        <color indexed="10"/>
        <rFont val="Calibri"/>
        <family val="2"/>
      </rPr>
      <t>2</t>
    </r>
    <r>
      <rPr>
        <sz val="11"/>
        <color indexed="10"/>
        <rFont val="Calibri"/>
        <family val="2"/>
      </rPr>
      <t>O/ha)</t>
    </r>
  </si>
  <si>
    <t>N</t>
  </si>
  <si>
    <t>P2O5</t>
  </si>
  <si>
    <t>K2O</t>
  </si>
  <si>
    <t>kg N/ha</t>
  </si>
  <si>
    <t>kg N</t>
  </si>
  <si>
    <t xml:space="preserve"> Pšenice ozimá</t>
  </si>
  <si>
    <t>Hnůj skotu</t>
  </si>
  <si>
    <t>výpočet</t>
  </si>
  <si>
    <t xml:space="preserve"> Pšenice jarní</t>
  </si>
  <si>
    <t>Hnůj prasat</t>
  </si>
  <si>
    <t>hodnoty</t>
  </si>
  <si>
    <t xml:space="preserve"> Žito ozimé a jarní</t>
  </si>
  <si>
    <t>Hnůj koňský</t>
  </si>
  <si>
    <t xml:space="preserve"> Ječmen ozimý</t>
  </si>
  <si>
    <t>Hnůj ovcí a koz</t>
  </si>
  <si>
    <t xml:space="preserve"> Ječmen jarní</t>
  </si>
  <si>
    <t>Močůvka skotu a hnojůvka</t>
  </si>
  <si>
    <t xml:space="preserve"> Oves</t>
  </si>
  <si>
    <t>Močůvka prasat a hnojůvka</t>
  </si>
  <si>
    <t xml:space="preserve"> Tritikale</t>
  </si>
  <si>
    <t>Kejda skotu</t>
  </si>
  <si>
    <t xml:space="preserve"> Kukuřice na zrno</t>
  </si>
  <si>
    <t>Kejda skotu - fugát</t>
  </si>
  <si>
    <t>Kejda skotu - separát</t>
  </si>
  <si>
    <t xml:space="preserve"> Hrách setý na zrno</t>
  </si>
  <si>
    <t>Kejda prasat</t>
  </si>
  <si>
    <t xml:space="preserve"> Lupina na zrno</t>
  </si>
  <si>
    <t>Kejda prasat - fugát</t>
  </si>
  <si>
    <t>Kejda prasat - separát</t>
  </si>
  <si>
    <t>Drůbeží trus - uleželý</t>
  </si>
  <si>
    <t>Drůbeží trus - sušený</t>
  </si>
  <si>
    <t xml:space="preserve"> Brambory sadbové</t>
  </si>
  <si>
    <t>Drůbeží trus s podestýlkou</t>
  </si>
  <si>
    <t xml:space="preserve"> Cukrovka technická</t>
  </si>
  <si>
    <t xml:space="preserve"> Krmná řepa</t>
  </si>
  <si>
    <t xml:space="preserve"> Ostatní okopaniny</t>
  </si>
  <si>
    <t xml:space="preserve"> Řepka</t>
  </si>
  <si>
    <t xml:space="preserve"> Slunečnice na semeno</t>
  </si>
  <si>
    <t>Ostatní organická hnojiva, např. výpalky</t>
  </si>
  <si>
    <t xml:space="preserve"> Sója</t>
  </si>
  <si>
    <t>Upravený kal (ve 100% sušině)</t>
  </si>
  <si>
    <t xml:space="preserve"> Mák</t>
  </si>
  <si>
    <t>Celkem</t>
  </si>
  <si>
    <t xml:space="preserve"> Hořčice na semeno</t>
  </si>
  <si>
    <t>č.ž. v OH, SH, UK</t>
  </si>
  <si>
    <t xml:space="preserve"> Ostatní olejniny</t>
  </si>
  <si>
    <t>Spotřeba živin v minerálních hnojivech</t>
  </si>
  <si>
    <t>č.ž. v MH</t>
  </si>
  <si>
    <t xml:space="preserve"> Konopí</t>
  </si>
  <si>
    <t>celkem</t>
  </si>
  <si>
    <t xml:space="preserve"> Léčivé rostliny</t>
  </si>
  <si>
    <t>Výstup - export živin z pozemků</t>
  </si>
  <si>
    <t>Vstup - symbiotická fixace dusíku</t>
  </si>
  <si>
    <t xml:space="preserve"> Jednoleté luskoviny na zeleno</t>
  </si>
  <si>
    <t>Vstup - minerální hnojiva</t>
  </si>
  <si>
    <t xml:space="preserve"> Ostatní jednoleté plodiny na zeleno (např. LOS)</t>
  </si>
  <si>
    <t>skupina 1</t>
  </si>
  <si>
    <t>skupina 2</t>
  </si>
  <si>
    <t>skupina 3</t>
  </si>
  <si>
    <t xml:space="preserve"> Jeteloviny na semeno</t>
  </si>
  <si>
    <t xml:space="preserve"> Trávy na semeno</t>
  </si>
  <si>
    <t xml:space="preserve"> Zelenina celkem</t>
  </si>
  <si>
    <r>
      <t>t OL</t>
    </r>
    <r>
      <rPr>
        <b/>
        <i/>
        <sz val="11"/>
        <color indexed="10"/>
        <rFont val="Calibri"/>
        <family val="2"/>
      </rPr>
      <t>/ha (SK)</t>
    </r>
  </si>
  <si>
    <r>
      <t>C</t>
    </r>
    <r>
      <rPr>
        <b/>
        <vertAlign val="subscript"/>
        <sz val="12"/>
        <color indexed="10"/>
        <rFont val="Calibri"/>
        <family val="2"/>
      </rPr>
      <t>hum</t>
    </r>
    <r>
      <rPr>
        <b/>
        <sz val="12"/>
        <color indexed="10"/>
        <rFont val="Calibri"/>
        <family val="2"/>
      </rPr>
      <t>/C</t>
    </r>
    <r>
      <rPr>
        <b/>
        <vertAlign val="subscript"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(D/ČR)</t>
    </r>
  </si>
  <si>
    <t xml:space="preserve"> Jahody</t>
  </si>
  <si>
    <t xml:space="preserve"> Ostatní (plochy na semeno, květiny, školky, ...)</t>
  </si>
  <si>
    <t xml:space="preserve"> Úhor</t>
  </si>
  <si>
    <t>Bilance organické hmoty v orné půdě</t>
  </si>
  <si>
    <t>t OL/ha (ČR)</t>
  </si>
  <si>
    <t xml:space="preserve"> Orná půda celkem</t>
  </si>
  <si>
    <t>VP celkem</t>
  </si>
  <si>
    <t>t/ha</t>
  </si>
  <si>
    <t>Dodání - sláma obilnin</t>
  </si>
  <si>
    <t>SFN</t>
  </si>
  <si>
    <t xml:space="preserve"> Chmelnice plodící</t>
  </si>
  <si>
    <t>Dodání - sláma luskovin</t>
  </si>
  <si>
    <t xml:space="preserve"> Vinice plodící</t>
  </si>
  <si>
    <t>Dodání - sláma olejnin</t>
  </si>
  <si>
    <t xml:space="preserve"> Ovocné sady</t>
  </si>
  <si>
    <t>obilnin</t>
  </si>
  <si>
    <t>Dodání - chrást, nať</t>
  </si>
  <si>
    <t>sláma obilnin</t>
  </si>
  <si>
    <t>luskovin</t>
  </si>
  <si>
    <t>Dodání - zelené hnojení</t>
  </si>
  <si>
    <t>sláma luskovin</t>
  </si>
  <si>
    <t xml:space="preserve"> Trvalé kultury</t>
  </si>
  <si>
    <t>olejnin</t>
  </si>
  <si>
    <t>sláma olejnin</t>
  </si>
  <si>
    <t xml:space="preserve"> Zemědělská půda celkem</t>
  </si>
  <si>
    <t>chrást</t>
  </si>
  <si>
    <t>zelené hnojení</t>
  </si>
  <si>
    <t>old</t>
  </si>
  <si>
    <t>potřeba OL</t>
  </si>
  <si>
    <t xml:space="preserve"> Chmelnice neplodící </t>
  </si>
  <si>
    <t>OL ve SH SRZ</t>
  </si>
  <si>
    <t xml:space="preserve"> Vinice neplodící</t>
  </si>
  <si>
    <t>OUTPUT</t>
  </si>
  <si>
    <t>OL ve SH a OH</t>
  </si>
  <si>
    <t xml:space="preserve"> Zahrady</t>
  </si>
  <si>
    <t>INPUT</t>
  </si>
  <si>
    <t>t Ol/ha</t>
  </si>
  <si>
    <t>chrást, nať</t>
  </si>
  <si>
    <t>BILANCE</t>
  </si>
  <si>
    <t>kg C/ha</t>
  </si>
  <si>
    <t>ČR 2017 (t/ha)</t>
  </si>
  <si>
    <t xml:space="preserve"> Ostatní luskoviny na zrno</t>
  </si>
  <si>
    <t xml:space="preserve"> Brambory rané mimo sadbu (sklizeň do 30. 6.) </t>
  </si>
  <si>
    <t xml:space="preserve"> Brambory (mimo rané a sadbu)</t>
  </si>
  <si>
    <r>
      <t xml:space="preserve">Plodiny na o.p. </t>
    </r>
    <r>
      <rPr>
        <sz val="11"/>
        <rFont val="Calibri"/>
        <family val="2"/>
      </rPr>
      <t>(1. zrniny, olejniny; 2. okopaniny, jednoleté pícniny, zelenina; 3. víceleté pícniny)</t>
    </r>
  </si>
  <si>
    <t>Sklizeň celkem (t)</t>
  </si>
  <si>
    <t>- z toho na ornou půdu (t)</t>
  </si>
  <si>
    <t>Vstupy - celkem</t>
  </si>
  <si>
    <r>
      <t xml:space="preserve">t </t>
    </r>
    <r>
      <rPr>
        <b/>
        <sz val="12"/>
        <color indexed="8"/>
        <rFont val="Calibri"/>
        <family val="2"/>
      </rPr>
      <t>C</t>
    </r>
    <r>
      <rPr>
        <b/>
        <vertAlign val="subscript"/>
        <sz val="12"/>
        <color indexed="8"/>
        <rFont val="Calibri"/>
        <family val="2"/>
      </rPr>
      <t>h</t>
    </r>
    <r>
      <rPr>
        <b/>
        <sz val="12"/>
        <color indexed="8"/>
        <rFont val="Calibri"/>
        <family val="2"/>
      </rPr>
      <t>/ha (D)</t>
    </r>
  </si>
  <si>
    <r>
      <t>Potřeba dodání OL (ČR), C</t>
    </r>
    <r>
      <rPr>
        <b/>
        <vertAlign val="subscript"/>
        <sz val="11"/>
        <rFont val="Calibri"/>
        <family val="2"/>
      </rPr>
      <t>h</t>
    </r>
    <r>
      <rPr>
        <b/>
        <sz val="11"/>
        <rFont val="Calibri"/>
        <family val="2"/>
      </rPr>
      <t xml:space="preserve"> (Německo, D)</t>
    </r>
  </si>
  <si>
    <t>OL = organické látky (ČR)</t>
  </si>
  <si>
    <t>Vysvětlivky:</t>
  </si>
  <si>
    <r>
      <rPr>
        <b/>
        <u val="single"/>
        <sz val="11"/>
        <color indexed="8"/>
        <rFont val="Calibri"/>
        <family val="2"/>
      </rPr>
      <t>Odvezen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(ha)</t>
    </r>
  </si>
  <si>
    <t>Aplikace celkem na z.p. (t)</t>
  </si>
  <si>
    <t xml:space="preserve"> Pěstované plodiny                                              </t>
  </si>
  <si>
    <t>Plocha (ha)</t>
  </si>
  <si>
    <t>Výnos (t/ha)</t>
  </si>
  <si>
    <t>Doporučená minimální hodnota bilance</t>
  </si>
  <si>
    <t xml:space="preserve">   z toho: meziplodiny na zelené hnojení  (5-30 t/ha)</t>
  </si>
  <si>
    <r>
      <t>Dodání OL (ČR), C</t>
    </r>
    <r>
      <rPr>
        <b/>
        <vertAlign val="subscript"/>
        <sz val="11"/>
        <color indexed="8"/>
        <rFont val="Calibri"/>
        <family val="2"/>
      </rPr>
      <t>h</t>
    </r>
    <r>
      <rPr>
        <b/>
        <sz val="11"/>
        <color indexed="8"/>
        <rFont val="Calibri"/>
        <family val="2"/>
      </rPr>
      <t xml:space="preserve"> (Německo, D), celkem</t>
    </r>
  </si>
  <si>
    <t xml:space="preserve">bilanci můžete "doladit" meziplodinami na zel. hnojení </t>
  </si>
  <si>
    <t>S</t>
  </si>
  <si>
    <t>MgO</t>
  </si>
  <si>
    <t>CaO</t>
  </si>
  <si>
    <t>%</t>
  </si>
  <si>
    <t>SAG</t>
  </si>
  <si>
    <t>DAP Polidap</t>
  </si>
  <si>
    <t>SP 40</t>
  </si>
  <si>
    <t>Patenkali</t>
  </si>
  <si>
    <t>Kainit</t>
  </si>
  <si>
    <t>Krista MgS</t>
  </si>
  <si>
    <t>DOLOKORN gr.</t>
  </si>
  <si>
    <t>NPK 13-9-16-4</t>
  </si>
  <si>
    <t>NPK 7-20-28-2-3</t>
  </si>
  <si>
    <t>NP 26-14</t>
  </si>
  <si>
    <t xml:space="preserve">NP 20-20 </t>
  </si>
  <si>
    <t>EUROFERTILTOP 45 NPS</t>
  </si>
  <si>
    <t>DUOFERTIL TOP 43 NPS</t>
  </si>
  <si>
    <t>Ledek vápenatý (LV)</t>
  </si>
  <si>
    <t>Síran amonný (SA)</t>
  </si>
  <si>
    <t>LAS, SULFAN 24-6</t>
  </si>
  <si>
    <t>Dusíkatá hnojiva</t>
  </si>
  <si>
    <t>Fosforečná a NP hnojiva</t>
  </si>
  <si>
    <t>Draselná hnojiva</t>
  </si>
  <si>
    <t>Draselná sůl (DS)</t>
  </si>
  <si>
    <t>Hořečnatá hnojiva</t>
  </si>
  <si>
    <t>Vápenatá hnojiva</t>
  </si>
  <si>
    <t>Vícesložková hnojiva</t>
  </si>
  <si>
    <t>t</t>
  </si>
  <si>
    <t>Obsah živin v hmotnostních %</t>
  </si>
  <si>
    <t xml:space="preserve">Minerální hnojiva </t>
  </si>
  <si>
    <r>
      <t>P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  <r>
      <rPr>
        <b/>
        <vertAlign val="subscript"/>
        <sz val="11"/>
        <rFont val="Calibri"/>
        <family val="2"/>
      </rPr>
      <t>5</t>
    </r>
  </si>
  <si>
    <r>
      <t>K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</si>
  <si>
    <r>
      <t>P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O</t>
    </r>
    <r>
      <rPr>
        <b/>
        <vertAlign val="subscript"/>
        <sz val="12"/>
        <rFont val="Calibri"/>
        <family val="2"/>
      </rPr>
      <t>5</t>
    </r>
  </si>
  <si>
    <r>
      <t>K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O</t>
    </r>
  </si>
  <si>
    <t>Síran draselný (SD)</t>
  </si>
  <si>
    <t>Podnik, kontakty:</t>
  </si>
  <si>
    <t>dusík (N)</t>
  </si>
  <si>
    <t xml:space="preserve"> Kukuřice na siláž, ostatní obiloviny na zeleno</t>
  </si>
  <si>
    <t xml:space="preserve">Statková hnojiva, organická hnojiva a upravené kaly </t>
  </si>
  <si>
    <t xml:space="preserve">Kompost </t>
  </si>
  <si>
    <t xml:space="preserve">Digestát </t>
  </si>
  <si>
    <t xml:space="preserve">Digestát - fugát </t>
  </si>
  <si>
    <t xml:space="preserve">Digestát - separát, nebo tuhý digestát </t>
  </si>
  <si>
    <t>AMISAN, SAM</t>
  </si>
  <si>
    <t xml:space="preserve">ALZON NEO </t>
  </si>
  <si>
    <t xml:space="preserve">PIAMON </t>
  </si>
  <si>
    <t>DAM 390 (28)</t>
  </si>
  <si>
    <t>DAM 390 (30)</t>
  </si>
  <si>
    <t>NPK 15-15-15</t>
  </si>
  <si>
    <t xml:space="preserve">NPK 16-16-16 </t>
  </si>
  <si>
    <t>NPK 14-10-16-5</t>
  </si>
  <si>
    <t>NPK 12-7-16-4</t>
  </si>
  <si>
    <t>NPK 8-24-24-4</t>
  </si>
  <si>
    <t>NPK 9-12-25-2,6 + stp</t>
  </si>
  <si>
    <t>NPK 9-25-25</t>
  </si>
  <si>
    <t>PK 20-30</t>
  </si>
  <si>
    <t>NPK 12-24-12-2-2</t>
  </si>
  <si>
    <t>Amofos 12-52</t>
  </si>
  <si>
    <t>DASA 26-13</t>
  </si>
  <si>
    <t>DASA 25-12</t>
  </si>
  <si>
    <t xml:space="preserve">Spotřeba živin (v tunách) </t>
  </si>
  <si>
    <t>Dusičnan amonný (DA)</t>
  </si>
  <si>
    <t xml:space="preserve">UREA STABIL </t>
  </si>
  <si>
    <t>UREA S</t>
  </si>
  <si>
    <t xml:space="preserve">Močovina (MO) </t>
  </si>
  <si>
    <t>Vápno</t>
  </si>
  <si>
    <t>Vápenec dolomitický</t>
  </si>
  <si>
    <t>Vápno hnoj. nehašené</t>
  </si>
  <si>
    <r>
      <t>P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  <r>
      <rPr>
        <b/>
        <vertAlign val="subscript"/>
        <sz val="11"/>
        <rFont val="Calibri"/>
        <family val="2"/>
      </rPr>
      <t>5</t>
    </r>
  </si>
  <si>
    <r>
      <t>K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</si>
  <si>
    <t>živina</t>
  </si>
  <si>
    <r>
      <t>fosfor (P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O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</si>
  <si>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r>
      <t>draslík (K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O)</t>
    </r>
  </si>
  <si>
    <r>
      <t>fosfor (P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</t>
    </r>
    <r>
      <rPr>
        <b/>
        <vertAlign val="subscript"/>
        <sz val="11"/>
        <rFont val="Calibri"/>
        <family val="2"/>
      </rPr>
      <t>5</t>
    </r>
    <r>
      <rPr>
        <b/>
        <sz val="11"/>
        <rFont val="Calibri"/>
        <family val="2"/>
      </rPr>
      <t>)</t>
    </r>
  </si>
  <si>
    <r>
      <t>draslík (K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</si>
  <si>
    <t xml:space="preserve"> Kmín a další kořeninové rostliny</t>
  </si>
  <si>
    <t xml:space="preserve"> Ostatní technické a energetické plodiny</t>
  </si>
  <si>
    <r>
      <t xml:space="preserve"> Jetel</t>
    </r>
    <r>
      <rPr>
        <sz val="11"/>
        <color theme="1"/>
        <rFont val="Calibri"/>
        <family val="2"/>
      </rPr>
      <t xml:space="preserve"> -</t>
    </r>
    <r>
      <rPr>
        <i/>
        <sz val="11"/>
        <color indexed="8"/>
        <rFont val="Calibri"/>
        <family val="2"/>
      </rPr>
      <t xml:space="preserve"> uvedeno v seně (zel. hmota/4, senáž/3)</t>
    </r>
  </si>
  <si>
    <r>
      <t xml:space="preserve"> Vojtěška </t>
    </r>
    <r>
      <rPr>
        <i/>
        <sz val="11"/>
        <color indexed="8"/>
        <rFont val="Calibri"/>
        <family val="2"/>
      </rPr>
      <t xml:space="preserve">- uvedeno </t>
    </r>
    <r>
      <rPr>
        <i/>
        <sz val="11"/>
        <color indexed="8"/>
        <rFont val="Calibri"/>
        <family val="2"/>
      </rPr>
      <t>v seně</t>
    </r>
  </si>
  <si>
    <r>
      <t xml:space="preserve"> Dočasné travní porosty -</t>
    </r>
    <r>
      <rPr>
        <i/>
        <sz val="11"/>
        <color indexed="8"/>
        <rFont val="Calibri"/>
        <family val="2"/>
      </rPr>
      <t xml:space="preserve"> uvedeno </t>
    </r>
    <r>
      <rPr>
        <i/>
        <sz val="11"/>
        <color indexed="8"/>
        <rFont val="Calibri"/>
        <family val="2"/>
      </rPr>
      <t>v seně</t>
    </r>
  </si>
  <si>
    <r>
      <t xml:space="preserve"> Trvalé travní porosty - </t>
    </r>
    <r>
      <rPr>
        <i/>
        <sz val="11"/>
        <color indexed="8"/>
        <rFont val="Calibri"/>
        <family val="2"/>
      </rPr>
      <t>součet všech sečí, uvedeno v seně</t>
    </r>
  </si>
  <si>
    <r>
      <t>Bilance živin na zemědělské půdě</t>
    </r>
    <r>
      <rPr>
        <sz val="12"/>
        <rFont val="Calibri"/>
        <family val="2"/>
      </rPr>
      <t xml:space="preserve"> (průměr, kg/ha)</t>
    </r>
  </si>
  <si>
    <r>
      <rPr>
        <b/>
        <i/>
        <sz val="11"/>
        <color indexed="17"/>
        <rFont val="Calibri"/>
        <family val="2"/>
      </rPr>
      <t xml:space="preserve">K meziplodinám: </t>
    </r>
    <r>
      <rPr>
        <i/>
        <sz val="11"/>
        <color indexed="17"/>
        <rFont val="Calibri"/>
        <family val="2"/>
      </rPr>
      <t xml:space="preserve">pokud sklízíte </t>
    </r>
    <r>
      <rPr>
        <i/>
        <u val="single"/>
        <sz val="11"/>
        <color indexed="17"/>
        <rFont val="Calibri"/>
        <family val="2"/>
      </rPr>
      <t>meziplodinu na zeleno</t>
    </r>
    <r>
      <rPr>
        <i/>
        <sz val="11"/>
        <color indexed="17"/>
        <rFont val="Calibri"/>
        <family val="2"/>
      </rPr>
      <t xml:space="preserve"> (např. ozimé žito), přičtěte množství sklizené hmoty do řádku "Kukuřice na siláž, ostatní obiloviny na zeleno" (navyšte průměrný výnos), ale tyto hektary nepřičítejte ani nikam nepište; při použití </t>
    </r>
    <r>
      <rPr>
        <i/>
        <u val="single"/>
        <sz val="11"/>
        <color indexed="17"/>
        <rFont val="Calibri"/>
        <family val="2"/>
      </rPr>
      <t>meziplodiny na zelené hnojení</t>
    </r>
    <r>
      <rPr>
        <i/>
        <sz val="11"/>
        <color indexed="17"/>
        <rFont val="Calibri"/>
        <family val="2"/>
      </rPr>
      <t xml:space="preserve"> zapište plochu do řádku 50 a odhadněte (např. podle výšky porostu) množství zapravené čerstvé hmoty (ve sloupci C je předvyplněno 10 t/ha, hodnotu ale můžete změnit)</t>
    </r>
  </si>
  <si>
    <t xml:space="preserve"> Ostatní obiloviny na zrno</t>
  </si>
  <si>
    <t xml:space="preserve"> Len setý olejný na semeno</t>
  </si>
  <si>
    <t>Dodání - aplikace statkových a organických hnojiv, upravených kalů</t>
  </si>
  <si>
    <t>jiná hnojiva - níže uveďte název a % živin</t>
  </si>
  <si>
    <t>cena podniku</t>
  </si>
  <si>
    <t>průměr ČR</t>
  </si>
  <si>
    <t>více než 0</t>
  </si>
  <si>
    <t>Požadovaný výsledek bilance</t>
  </si>
  <si>
    <t>Vhodná spotřeba pro splnění požadovaného výsledku bilance</t>
  </si>
  <si>
    <t>Vyjádřeno v tunách živin, za podnik</t>
  </si>
  <si>
    <t>dusík</t>
  </si>
  <si>
    <t>fosfor</t>
  </si>
  <si>
    <t>draslík</t>
  </si>
  <si>
    <t>rozdíl</t>
  </si>
  <si>
    <t>bilance</t>
  </si>
  <si>
    <t>výsledek</t>
  </si>
  <si>
    <t>(kg/ha)</t>
  </si>
  <si>
    <t>k doladění</t>
  </si>
  <si>
    <t>(tuny živin)</t>
  </si>
  <si>
    <t xml:space="preserve">       </t>
  </si>
  <si>
    <r>
      <t xml:space="preserve"> Ost. víceleté plodiny (jetelotráva, ...) </t>
    </r>
    <r>
      <rPr>
        <i/>
        <sz val="11"/>
        <color indexed="8"/>
        <rFont val="Calibri"/>
        <family val="2"/>
      </rPr>
      <t xml:space="preserve">- uvedeno </t>
    </r>
    <r>
      <rPr>
        <i/>
        <sz val="11"/>
        <color indexed="8"/>
        <rFont val="Calibri"/>
        <family val="2"/>
      </rPr>
      <t>v seně</t>
    </r>
  </si>
  <si>
    <r>
      <t xml:space="preserve">Bilance živin </t>
    </r>
    <r>
      <rPr>
        <sz val="12"/>
        <rFont val="Calibri"/>
        <family val="2"/>
      </rPr>
      <t>(rozdíl mezi vstupy a výstupy, kg/ha)</t>
    </r>
  </si>
  <si>
    <r>
      <t>Bilance OL (ČR), C</t>
    </r>
    <r>
      <rPr>
        <b/>
        <vertAlign val="subscript"/>
        <sz val="12"/>
        <color indexed="8"/>
        <rFont val="Calibri"/>
        <family val="2"/>
      </rPr>
      <t>h</t>
    </r>
    <r>
      <rPr>
        <b/>
        <sz val="12"/>
        <color indexed="8"/>
        <rFont val="Calibri"/>
        <family val="2"/>
      </rPr>
      <t xml:space="preserve"> (Německo, D)</t>
    </r>
  </si>
  <si>
    <r>
      <rPr>
        <b/>
        <i/>
        <sz val="11"/>
        <color indexed="8"/>
        <rFont val="Calibri"/>
        <family val="2"/>
      </rPr>
      <t>←</t>
    </r>
    <r>
      <rPr>
        <i/>
        <sz val="11"/>
        <color indexed="8"/>
        <rFont val="Calibri"/>
        <family val="2"/>
      </rPr>
      <t xml:space="preserve"> důležité pro bilanci org. hmoty, která se počítá jen na ornou půdu</t>
    </r>
  </si>
  <si>
    <t xml:space="preserve">Vložte spotřebu minerálních hnojiv (t), za hosp. rok </t>
  </si>
  <si>
    <t>Trojitý superfosfát (TSF)</t>
  </si>
  <si>
    <t xml:space="preserve">Kamex </t>
  </si>
  <si>
    <t>Kieserit gr.</t>
  </si>
  <si>
    <t>Kieserit kr.</t>
  </si>
  <si>
    <t>Hořká sůl</t>
  </si>
  <si>
    <r>
      <t xml:space="preserve">nebo vložte připravené hodnoty </t>
    </r>
    <r>
      <rPr>
        <b/>
        <i/>
        <sz val="11"/>
        <color indexed="8"/>
        <rFont val="Calibri"/>
        <family val="2"/>
      </rPr>
      <t>↓</t>
    </r>
    <r>
      <rPr>
        <i/>
        <sz val="11"/>
        <color indexed="8"/>
        <rFont val="Calibri"/>
        <family val="2"/>
      </rPr>
      <t xml:space="preserve"> </t>
    </r>
  </si>
  <si>
    <r>
      <rPr>
        <b/>
        <i/>
        <sz val="11"/>
        <color indexed="8"/>
        <rFont val="Calibri"/>
        <family val="2"/>
      </rPr>
      <t>↓</t>
    </r>
    <r>
      <rPr>
        <i/>
        <sz val="11"/>
        <color indexed="8"/>
        <rFont val="Calibri"/>
        <family val="2"/>
      </rPr>
      <t xml:space="preserve"> pro přepočet ze hnojiv na živiny použijte další list </t>
    </r>
  </si>
  <si>
    <t>vypočtené hodnoty se automaticky přenesou do předchozího listu, pokud již nebyly přímo vloženy údaje o spotřebě živin (ty jsou pak preferovány při výpočtu bilance)</t>
  </si>
  <si>
    <r>
      <rPr>
        <b/>
        <sz val="12"/>
        <color indexed="8"/>
        <rFont val="Calibri"/>
        <family val="2"/>
      </rPr>
      <t xml:space="preserve">Vyhodnocení </t>
    </r>
    <r>
      <rPr>
        <sz val="12"/>
        <color indexed="8"/>
        <rFont val="Calibri"/>
        <family val="2"/>
      </rPr>
      <t>(tuny živin za podnik)</t>
    </r>
  </si>
  <si>
    <r>
      <rPr>
        <b/>
        <sz val="12"/>
        <color indexed="8"/>
        <rFont val="Calibri"/>
        <family val="2"/>
      </rPr>
      <t xml:space="preserve">Vyhodnocení </t>
    </r>
    <r>
      <rPr>
        <sz val="12"/>
        <color indexed="8"/>
        <rFont val="Calibri"/>
        <family val="2"/>
      </rPr>
      <t>(Kč za podnik)</t>
    </r>
  </si>
  <si>
    <r>
      <rPr>
        <b/>
        <i/>
        <sz val="12"/>
        <color indexed="10"/>
        <rFont val="Calibri"/>
        <family val="2"/>
      </rPr>
      <t>↑</t>
    </r>
    <r>
      <rPr>
        <i/>
        <sz val="12"/>
        <color indexed="10"/>
        <rFont val="Calibri"/>
        <family val="2"/>
      </rPr>
      <t xml:space="preserve"> méně než 60</t>
    </r>
  </si>
  <si>
    <r>
      <t xml:space="preserve">do bílého políčka </t>
    </r>
    <r>
      <rPr>
        <b/>
        <sz val="11"/>
        <color indexed="8"/>
        <rFont val="Calibri"/>
        <family val="2"/>
      </rPr>
      <t>↑</t>
    </r>
    <r>
      <rPr>
        <i/>
        <sz val="11"/>
        <color indexed="8"/>
        <rFont val="Calibri"/>
        <family val="2"/>
      </rPr>
      <t xml:space="preserve"> můžete</t>
    </r>
  </si>
  <si>
    <t xml:space="preserve">vložit svoje údaje o ceně živin </t>
  </si>
  <si>
    <t xml:space="preserve">       ale u fosforu a draslíku nutnost nákupu hnojiv</t>
  </si>
  <si>
    <r>
      <rPr>
        <b/>
        <i/>
        <sz val="11"/>
        <color indexed="8"/>
        <rFont val="Calibri"/>
        <family val="2"/>
      </rPr>
      <t xml:space="preserve">← </t>
    </r>
    <r>
      <rPr>
        <i/>
        <sz val="11"/>
        <color indexed="8"/>
        <rFont val="Calibri"/>
        <family val="2"/>
      </rPr>
      <t>částka v Kč u dusíku představuje možnou úsporu,</t>
    </r>
  </si>
  <si>
    <t>Vyhodnocení a doporučení</t>
  </si>
  <si>
    <r>
      <t>C</t>
    </r>
    <r>
      <rPr>
        <i/>
        <vertAlign val="subscript"/>
        <sz val="11"/>
        <color indexed="8"/>
        <rFont val="Calibri"/>
        <family val="2"/>
      </rPr>
      <t>h</t>
    </r>
    <r>
      <rPr>
        <i/>
        <sz val="11"/>
        <color indexed="8"/>
        <rFont val="Calibri"/>
        <family val="2"/>
      </rPr>
      <t xml:space="preserve"> = uhlík účinný pro náhradu rozloženého humusu (D)</t>
    </r>
  </si>
  <si>
    <t>Ledek amonný s vápencem (LAV 27)</t>
  </si>
  <si>
    <t>Údaje o sklizni zemědělských plodin (nebo plán) za rok:</t>
  </si>
  <si>
    <t>Spotřeba hnojiv (nebo plán) za hospodářský rok:</t>
  </si>
  <si>
    <r>
      <t>Cena za 1 kg živiny</t>
    </r>
    <r>
      <rPr>
        <sz val="11"/>
        <color theme="1"/>
        <rFont val="Calibri"/>
        <family val="2"/>
      </rPr>
      <t xml:space="preserve"> (pro ekon. vyhodnocení)</t>
    </r>
  </si>
  <si>
    <r>
      <rPr>
        <b/>
        <sz val="11"/>
        <color indexed="8"/>
        <rFont val="Calibri"/>
        <family val="2"/>
      </rPr>
      <t xml:space="preserve">Zpracoval: </t>
    </r>
    <r>
      <rPr>
        <sz val="11"/>
        <color theme="1"/>
        <rFont val="Calibri"/>
        <family val="2"/>
      </rPr>
      <t>Ing. Jan Klír, CSc., VÚRV, v.v.i., Praha - Ruzyně (klir@vurv.cz, tel. 603 520 684)</t>
    </r>
  </si>
  <si>
    <t>Vstup - aplikace statkových a org. hnojiv, upravených kalů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</si>
</sst>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0"/>
    <numFmt numFmtId="168" formatCode="#,##0.0000"/>
    <numFmt numFmtId="169" formatCode="0.0000"/>
    <numFmt numFmtId="170" formatCode="0.000"/>
    <numFmt numFmtId="171" formatCode="#,##0\ &quot;Kč&quot;"/>
    <numFmt numFmtId="172" formatCode="#,##0.00\ &quot;Kč&quot;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56"/>
      <name val="Calibri"/>
      <family val="2"/>
    </font>
    <font>
      <sz val="11"/>
      <color indexed="56"/>
      <name val="Calibri"/>
      <family val="2"/>
    </font>
    <font>
      <i/>
      <vertAlign val="subscript"/>
      <sz val="11"/>
      <color indexed="56"/>
      <name val="Calibri"/>
      <family val="2"/>
    </font>
    <font>
      <i/>
      <sz val="11"/>
      <color indexed="56"/>
      <name val="Calibri"/>
      <family val="2"/>
    </font>
    <font>
      <b/>
      <vertAlign val="subscript"/>
      <sz val="11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bscript"/>
      <sz val="11"/>
      <color indexed="56"/>
      <name val="Calibri"/>
      <family val="2"/>
    </font>
    <font>
      <b/>
      <i/>
      <sz val="11"/>
      <color indexed="56"/>
      <name val="Calibri"/>
      <family val="2"/>
    </font>
    <font>
      <vertAlign val="subscript"/>
      <sz val="11"/>
      <color indexed="10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vertAlign val="subscript"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vertAlign val="subscript"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2"/>
      <name val="Calibri"/>
      <family val="2"/>
    </font>
    <font>
      <b/>
      <sz val="12"/>
      <name val="Calibri"/>
      <family val="2"/>
    </font>
    <font>
      <i/>
      <vertAlign val="subscript"/>
      <sz val="11"/>
      <color indexed="8"/>
      <name val="Calibri"/>
      <family val="2"/>
    </font>
    <font>
      <i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i/>
      <u val="single"/>
      <sz val="11"/>
      <color indexed="17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10"/>
      <name val="Calibri"/>
      <family val="2"/>
    </font>
    <font>
      <i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i/>
      <sz val="11"/>
      <color indexed="62"/>
      <name val="Calibri"/>
      <family val="2"/>
    </font>
    <font>
      <i/>
      <sz val="11"/>
      <color indexed="62"/>
      <name val="Calibri"/>
      <family val="2"/>
    </font>
    <font>
      <i/>
      <sz val="11"/>
      <color indexed="10"/>
      <name val="Calibri"/>
      <family val="2"/>
    </font>
    <font>
      <sz val="9"/>
      <color indexed="62"/>
      <name val="Arial"/>
      <family val="2"/>
    </font>
    <font>
      <i/>
      <sz val="9"/>
      <color indexed="62"/>
      <name val="Arial"/>
      <family val="2"/>
    </font>
    <font>
      <i/>
      <sz val="9"/>
      <color indexed="10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3"/>
      <color indexed="8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b/>
      <i/>
      <sz val="11"/>
      <color theme="4" tint="-0.24997000396251678"/>
      <name val="Calibri"/>
      <family val="2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2"/>
      <color theme="1"/>
      <name val="Calibri"/>
      <family val="2"/>
    </font>
    <font>
      <sz val="11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i/>
      <sz val="11"/>
      <color rgb="FFFF0000"/>
      <name val="Calibri"/>
      <family val="2"/>
    </font>
    <font>
      <sz val="11"/>
      <color rgb="FF002060"/>
      <name val="Calibri"/>
      <family val="2"/>
    </font>
    <font>
      <i/>
      <sz val="11"/>
      <color rgb="FF002060"/>
      <name val="Calibri"/>
      <family val="2"/>
    </font>
    <font>
      <sz val="9"/>
      <color theme="4" tint="-0.24997000396251678"/>
      <name val="Arial"/>
      <family val="2"/>
    </font>
    <font>
      <i/>
      <sz val="9"/>
      <color theme="4" tint="-0.24997000396251678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rgb="FFFF0000"/>
      <name val="Calibri"/>
      <family val="2"/>
    </font>
    <font>
      <b/>
      <sz val="13"/>
      <color theme="1"/>
      <name val="Calibri"/>
      <family val="2"/>
    </font>
    <font>
      <b/>
      <sz val="11"/>
      <color rgb="FF008000"/>
      <name val="Calibri"/>
      <family val="2"/>
    </font>
    <font>
      <sz val="12"/>
      <color theme="1"/>
      <name val="Calibri"/>
      <family val="2"/>
    </font>
    <font>
      <b/>
      <i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rgb="FF008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603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1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67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20" fillId="0" borderId="0" xfId="0" applyFont="1" applyAlignment="1">
      <alignment/>
    </xf>
    <xf numFmtId="0" fontId="6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0" fillId="0" borderId="1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right" vertical="center"/>
      <protection/>
    </xf>
    <xf numFmtId="0" fontId="90" fillId="0" borderId="11" xfId="0" applyFont="1" applyBorder="1" applyAlignment="1" applyProtection="1">
      <alignment vertical="center"/>
      <protection/>
    </xf>
    <xf numFmtId="49" fontId="67" fillId="0" borderId="12" xfId="0" applyNumberFormat="1" applyFont="1" applyBorder="1" applyAlignment="1">
      <alignment horizontal="center"/>
    </xf>
    <xf numFmtId="0" fontId="90" fillId="0" borderId="13" xfId="0" applyFont="1" applyBorder="1" applyAlignment="1" applyProtection="1">
      <alignment horizontal="left" vertical="center"/>
      <protection/>
    </xf>
    <xf numFmtId="0" fontId="67" fillId="0" borderId="14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67" fillId="0" borderId="16" xfId="0" applyFont="1" applyFill="1" applyBorder="1" applyAlignment="1">
      <alignment vertical="center"/>
    </xf>
    <xf numFmtId="0" fontId="88" fillId="0" borderId="17" xfId="0" applyFont="1" applyFill="1" applyBorder="1" applyAlignment="1">
      <alignment vertical="center"/>
    </xf>
    <xf numFmtId="0" fontId="88" fillId="0" borderId="16" xfId="0" applyFont="1" applyFill="1" applyBorder="1" applyAlignment="1">
      <alignment vertical="center"/>
    </xf>
    <xf numFmtId="0" fontId="89" fillId="0" borderId="16" xfId="0" applyFont="1" applyFill="1" applyBorder="1" applyAlignment="1">
      <alignment vertical="center"/>
    </xf>
    <xf numFmtId="0" fontId="6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7" fillId="0" borderId="17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/>
    </xf>
    <xf numFmtId="0" fontId="89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67" fillId="16" borderId="17" xfId="0" applyFont="1" applyFill="1" applyBorder="1" applyAlignment="1" applyProtection="1">
      <alignment vertical="center" wrapText="1"/>
      <protection/>
    </xf>
    <xf numFmtId="0" fontId="67" fillId="16" borderId="17" xfId="0" applyFont="1" applyFill="1" applyBorder="1" applyAlignment="1" applyProtection="1">
      <alignment horizontal="center" vertical="center" wrapText="1"/>
      <protection/>
    </xf>
    <xf numFmtId="0" fontId="82" fillId="16" borderId="17" xfId="0" applyFont="1" applyFill="1" applyBorder="1" applyAlignment="1" applyProtection="1">
      <alignment horizontal="center" vertical="center" wrapText="1"/>
      <protection/>
    </xf>
    <xf numFmtId="0" fontId="67" fillId="22" borderId="16" xfId="0" applyFont="1" applyFill="1" applyBorder="1" applyAlignment="1" applyProtection="1">
      <alignment horizontal="center" vertical="center" wrapText="1"/>
      <protection/>
    </xf>
    <xf numFmtId="0" fontId="83" fillId="22" borderId="17" xfId="0" applyFont="1" applyFill="1" applyBorder="1" applyAlignment="1" applyProtection="1">
      <alignment horizontal="left" vertical="center" wrapText="1"/>
      <protection/>
    </xf>
    <xf numFmtId="0" fontId="67" fillId="0" borderId="19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94" fillId="0" borderId="19" xfId="0" applyFont="1" applyFill="1" applyBorder="1" applyAlignment="1">
      <alignment horizontal="center" vertical="center" wrapText="1"/>
    </xf>
    <xf numFmtId="0" fontId="95" fillId="33" borderId="19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 wrapText="1"/>
    </xf>
    <xf numFmtId="0" fontId="89" fillId="33" borderId="19" xfId="0" applyFont="1" applyFill="1" applyBorder="1" applyAlignment="1">
      <alignment horizontal="center" vertical="center" wrapText="1"/>
    </xf>
    <xf numFmtId="0" fontId="94" fillId="33" borderId="19" xfId="0" applyFont="1" applyFill="1" applyBorder="1" applyAlignment="1">
      <alignment horizontal="center" vertical="center" wrapText="1"/>
    </xf>
    <xf numFmtId="0" fontId="88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164" fontId="0" fillId="0" borderId="20" xfId="0" applyNumberFormat="1" applyFont="1" applyBorder="1" applyAlignment="1" applyProtection="1">
      <alignment vertical="center"/>
      <protection locked="0"/>
    </xf>
    <xf numFmtId="164" fontId="0" fillId="0" borderId="16" xfId="0" applyNumberFormat="1" applyFont="1" applyBorder="1" applyAlignment="1" applyProtection="1">
      <alignment vertical="center"/>
      <protection locked="0"/>
    </xf>
    <xf numFmtId="164" fontId="0" fillId="22" borderId="17" xfId="0" applyNumberFormat="1" applyFont="1" applyFill="1" applyBorder="1" applyAlignment="1" applyProtection="1">
      <alignment vertical="center"/>
      <protection/>
    </xf>
    <xf numFmtId="0" fontId="85" fillId="0" borderId="0" xfId="0" applyFont="1" applyAlignment="1" applyProtection="1">
      <alignment horizontal="center" vertical="center"/>
      <protection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Alignment="1">
      <alignment vertical="center"/>
    </xf>
    <xf numFmtId="0" fontId="84" fillId="0" borderId="0" xfId="0" applyFont="1" applyAlignment="1">
      <alignment vertical="center"/>
    </xf>
    <xf numFmtId="3" fontId="84" fillId="0" borderId="14" xfId="0" applyNumberFormat="1" applyFont="1" applyBorder="1" applyAlignment="1">
      <alignment vertical="center"/>
    </xf>
    <xf numFmtId="3" fontId="84" fillId="0" borderId="16" xfId="0" applyNumberFormat="1" applyFont="1" applyBorder="1" applyAlignment="1">
      <alignment vertical="center"/>
    </xf>
    <xf numFmtId="166" fontId="16" fillId="0" borderId="17" xfId="0" applyNumberFormat="1" applyFont="1" applyBorder="1" applyAlignment="1">
      <alignment vertical="center"/>
    </xf>
    <xf numFmtId="9" fontId="16" fillId="0" borderId="17" xfId="0" applyNumberFormat="1" applyFont="1" applyBorder="1" applyAlignment="1">
      <alignment vertical="center"/>
    </xf>
    <xf numFmtId="9" fontId="96" fillId="0" borderId="17" xfId="0" applyNumberFormat="1" applyFont="1" applyBorder="1" applyAlignment="1">
      <alignment vertical="center"/>
    </xf>
    <xf numFmtId="9" fontId="97" fillId="0" borderId="17" xfId="0" applyNumberFormat="1" applyFont="1" applyBorder="1" applyAlignment="1">
      <alignment vertical="center"/>
    </xf>
    <xf numFmtId="166" fontId="98" fillId="0" borderId="17" xfId="0" applyNumberFormat="1" applyFont="1" applyBorder="1" applyAlignment="1">
      <alignment vertical="center"/>
    </xf>
    <xf numFmtId="9" fontId="99" fillId="0" borderId="17" xfId="0" applyNumberFormat="1" applyFont="1" applyBorder="1" applyAlignment="1">
      <alignment vertical="center"/>
    </xf>
    <xf numFmtId="165" fontId="16" fillId="34" borderId="17" xfId="0" applyNumberFormat="1" applyFont="1" applyFill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100" fillId="0" borderId="17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2" fontId="91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4" fontId="0" fillId="33" borderId="17" xfId="0" applyNumberFormat="1" applyFont="1" applyFill="1" applyBorder="1" applyAlignment="1">
      <alignment vertical="center"/>
    </xf>
    <xf numFmtId="9" fontId="91" fillId="0" borderId="17" xfId="0" applyNumberFormat="1" applyFont="1" applyBorder="1" applyAlignment="1">
      <alignment vertical="center"/>
    </xf>
    <xf numFmtId="9" fontId="92" fillId="0" borderId="17" xfId="0" applyNumberFormat="1" applyFont="1" applyBorder="1" applyAlignment="1">
      <alignment vertical="center"/>
    </xf>
    <xf numFmtId="9" fontId="93" fillId="0" borderId="17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3" fontId="77" fillId="0" borderId="17" xfId="0" applyNumberFormat="1" applyFont="1" applyBorder="1" applyAlignment="1">
      <alignment vertical="center"/>
    </xf>
    <xf numFmtId="164" fontId="22" fillId="0" borderId="17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167" fontId="94" fillId="0" borderId="17" xfId="0" applyNumberFormat="1" applyFont="1" applyFill="1" applyBorder="1" applyAlignment="1">
      <alignment vertical="center"/>
    </xf>
    <xf numFmtId="167" fontId="95" fillId="33" borderId="17" xfId="0" applyNumberFormat="1" applyFont="1" applyFill="1" applyBorder="1" applyAlignment="1">
      <alignment vertical="center"/>
    </xf>
    <xf numFmtId="4" fontId="88" fillId="0" borderId="17" xfId="0" applyNumberFormat="1" applyFont="1" applyFill="1" applyBorder="1" applyAlignment="1">
      <alignment vertical="center"/>
    </xf>
    <xf numFmtId="4" fontId="95" fillId="33" borderId="17" xfId="0" applyNumberFormat="1" applyFont="1" applyFill="1" applyBorder="1" applyAlignment="1">
      <alignment vertical="center"/>
    </xf>
    <xf numFmtId="4" fontId="95" fillId="0" borderId="17" xfId="0" applyNumberFormat="1" applyFont="1" applyFill="1" applyBorder="1" applyAlignment="1">
      <alignment vertical="center"/>
    </xf>
    <xf numFmtId="164" fontId="88" fillId="0" borderId="17" xfId="0" applyNumberFormat="1" applyFont="1" applyFill="1" applyBorder="1" applyAlignment="1">
      <alignment vertical="center"/>
    </xf>
    <xf numFmtId="164" fontId="88" fillId="33" borderId="17" xfId="0" applyNumberFormat="1" applyFont="1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166" fontId="0" fillId="33" borderId="0" xfId="0" applyNumberForma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4" borderId="17" xfId="0" applyFont="1" applyFill="1" applyBorder="1" applyAlignment="1" applyProtection="1">
      <alignment vertical="center"/>
      <protection/>
    </xf>
    <xf numFmtId="164" fontId="0" fillId="0" borderId="17" xfId="0" applyNumberFormat="1" applyFont="1" applyBorder="1" applyAlignment="1" applyProtection="1">
      <alignment vertical="center"/>
      <protection locked="0"/>
    </xf>
    <xf numFmtId="3" fontId="67" fillId="0" borderId="15" xfId="0" applyNumberFormat="1" applyFont="1" applyBorder="1" applyAlignment="1">
      <alignment vertical="center"/>
    </xf>
    <xf numFmtId="168" fontId="94" fillId="35" borderId="17" xfId="0" applyNumberFormat="1" applyFont="1" applyFill="1" applyBorder="1" applyAlignment="1">
      <alignment vertical="center"/>
    </xf>
    <xf numFmtId="169" fontId="84" fillId="0" borderId="0" xfId="0" applyNumberFormat="1" applyFont="1" applyAlignment="1">
      <alignment vertical="center"/>
    </xf>
    <xf numFmtId="169" fontId="67" fillId="0" borderId="0" xfId="0" applyNumberFormat="1" applyFont="1" applyAlignment="1">
      <alignment vertical="center"/>
    </xf>
    <xf numFmtId="168" fontId="94" fillId="0" borderId="17" xfId="0" applyNumberFormat="1" applyFont="1" applyFill="1" applyBorder="1" applyAlignment="1">
      <alignment vertical="center"/>
    </xf>
    <xf numFmtId="0" fontId="22" fillId="36" borderId="17" xfId="0" applyFont="1" applyFill="1" applyBorder="1" applyAlignment="1" applyProtection="1">
      <alignment vertical="center"/>
      <protection/>
    </xf>
    <xf numFmtId="3" fontId="22" fillId="0" borderId="14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>
      <alignment vertical="center"/>
      <protection locked="0"/>
    </xf>
    <xf numFmtId="3" fontId="17" fillId="37" borderId="17" xfId="0" applyNumberFormat="1" applyFont="1" applyFill="1" applyBorder="1" applyAlignment="1">
      <alignment vertical="center"/>
    </xf>
    <xf numFmtId="167" fontId="100" fillId="0" borderId="17" xfId="0" applyNumberFormat="1" applyFont="1" applyBorder="1" applyAlignment="1">
      <alignment vertical="center"/>
    </xf>
    <xf numFmtId="164" fontId="0" fillId="8" borderId="0" xfId="0" applyNumberFormat="1" applyFill="1" applyBorder="1" applyAlignment="1">
      <alignment vertical="center"/>
    </xf>
    <xf numFmtId="166" fontId="0" fillId="8" borderId="0" xfId="0" applyNumberFormat="1" applyFill="1" applyBorder="1" applyAlignment="1">
      <alignment vertical="center"/>
    </xf>
    <xf numFmtId="2" fontId="0" fillId="8" borderId="0" xfId="0" applyNumberFormat="1" applyFill="1" applyBorder="1" applyAlignment="1">
      <alignment vertical="center"/>
    </xf>
    <xf numFmtId="164" fontId="0" fillId="0" borderId="17" xfId="0" applyNumberFormat="1" applyFont="1" applyFill="1" applyBorder="1" applyAlignment="1" applyProtection="1">
      <alignment vertical="center"/>
      <protection locked="0"/>
    </xf>
    <xf numFmtId="9" fontId="93" fillId="37" borderId="17" xfId="0" applyNumberFormat="1" applyFont="1" applyFill="1" applyBorder="1" applyAlignment="1">
      <alignment vertical="center"/>
    </xf>
    <xf numFmtId="3" fontId="77" fillId="37" borderId="17" xfId="0" applyNumberFormat="1" applyFont="1" applyFill="1" applyBorder="1" applyAlignment="1">
      <alignment vertical="center"/>
    </xf>
    <xf numFmtId="164" fontId="22" fillId="0" borderId="17" xfId="0" applyNumberFormat="1" applyFont="1" applyFill="1" applyBorder="1" applyAlignment="1">
      <alignment vertical="center"/>
    </xf>
    <xf numFmtId="167" fontId="95" fillId="0" borderId="17" xfId="0" applyNumberFormat="1" applyFont="1" applyFill="1" applyBorder="1" applyAlignment="1">
      <alignment vertical="center"/>
    </xf>
    <xf numFmtId="164" fontId="94" fillId="0" borderId="17" xfId="0" applyNumberFormat="1" applyFont="1" applyFill="1" applyBorder="1" applyAlignment="1">
      <alignment vertical="center"/>
    </xf>
    <xf numFmtId="9" fontId="0" fillId="33" borderId="0" xfId="0" applyNumberFormat="1" applyFill="1" applyAlignment="1">
      <alignment vertical="center"/>
    </xf>
    <xf numFmtId="164" fontId="0" fillId="37" borderId="16" xfId="0" applyNumberFormat="1" applyFont="1" applyFill="1" applyBorder="1" applyAlignment="1" applyProtection="1">
      <alignment vertical="center"/>
      <protection/>
    </xf>
    <xf numFmtId="164" fontId="0" fillId="37" borderId="17" xfId="0" applyNumberFormat="1" applyFont="1" applyFill="1" applyBorder="1" applyAlignment="1" applyProtection="1">
      <alignment vertical="center"/>
      <protection/>
    </xf>
    <xf numFmtId="2" fontId="91" fillId="38" borderId="17" xfId="0" applyNumberFormat="1" applyFont="1" applyFill="1" applyBorder="1" applyAlignment="1">
      <alignment vertical="center"/>
    </xf>
    <xf numFmtId="3" fontId="0" fillId="37" borderId="17" xfId="0" applyNumberFormat="1" applyFont="1" applyFill="1" applyBorder="1" applyAlignment="1">
      <alignment vertical="center"/>
    </xf>
    <xf numFmtId="165" fontId="0" fillId="37" borderId="17" xfId="0" applyNumberFormat="1" applyFont="1" applyFill="1" applyBorder="1" applyAlignment="1">
      <alignment vertical="center"/>
    </xf>
    <xf numFmtId="164" fontId="0" fillId="38" borderId="17" xfId="0" applyNumberFormat="1" applyFont="1" applyFill="1" applyBorder="1" applyAlignment="1">
      <alignment vertical="center"/>
    </xf>
    <xf numFmtId="3" fontId="0" fillId="38" borderId="17" xfId="0" applyNumberFormat="1" applyFont="1" applyFill="1" applyBorder="1" applyAlignment="1">
      <alignment vertical="center"/>
    </xf>
    <xf numFmtId="9" fontId="91" fillId="38" borderId="17" xfId="0" applyNumberFormat="1" applyFont="1" applyFill="1" applyBorder="1" applyAlignment="1">
      <alignment vertical="center"/>
    </xf>
    <xf numFmtId="9" fontId="92" fillId="38" borderId="17" xfId="0" applyNumberFormat="1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39" borderId="17" xfId="0" applyNumberFormat="1" applyFont="1" applyFill="1" applyBorder="1" applyAlignment="1" applyProtection="1">
      <alignment vertical="center"/>
      <protection/>
    </xf>
    <xf numFmtId="165" fontId="0" fillId="38" borderId="17" xfId="0" applyNumberFormat="1" applyFont="1" applyFill="1" applyBorder="1" applyAlignment="1">
      <alignment vertical="center"/>
    </xf>
    <xf numFmtId="166" fontId="93" fillId="38" borderId="17" xfId="0" applyNumberFormat="1" applyFont="1" applyFill="1" applyBorder="1" applyAlignment="1">
      <alignment vertical="center"/>
    </xf>
    <xf numFmtId="3" fontId="77" fillId="38" borderId="17" xfId="0" applyNumberFormat="1" applyFont="1" applyFill="1" applyBorder="1" applyAlignment="1">
      <alignment vertical="center"/>
    </xf>
    <xf numFmtId="164" fontId="22" fillId="35" borderId="17" xfId="0" applyNumberFormat="1" applyFont="1" applyFill="1" applyBorder="1" applyAlignment="1">
      <alignment vertical="center"/>
    </xf>
    <xf numFmtId="3" fontId="94" fillId="0" borderId="17" xfId="0" applyNumberFormat="1" applyFont="1" applyFill="1" applyBorder="1" applyAlignment="1">
      <alignment vertical="center"/>
    </xf>
    <xf numFmtId="3" fontId="22" fillId="0" borderId="14" xfId="0" applyNumberFormat="1" applyFont="1" applyFill="1" applyBorder="1" applyAlignment="1" applyProtection="1">
      <alignment horizontal="right" vertical="center"/>
      <protection locked="0"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167" fontId="94" fillId="35" borderId="17" xfId="0" applyNumberFormat="1" applyFont="1" applyFill="1" applyBorder="1" applyAlignment="1">
      <alignment vertical="center"/>
    </xf>
    <xf numFmtId="0" fontId="20" fillId="40" borderId="17" xfId="0" applyFont="1" applyFill="1" applyBorder="1" applyAlignment="1" applyProtection="1">
      <alignment vertical="center"/>
      <protection/>
    </xf>
    <xf numFmtId="3" fontId="67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  <xf numFmtId="2" fontId="67" fillId="13" borderId="0" xfId="0" applyNumberFormat="1" applyFont="1" applyFill="1" applyAlignment="1">
      <alignment vertical="center"/>
    </xf>
    <xf numFmtId="2" fontId="84" fillId="0" borderId="0" xfId="0" applyNumberFormat="1" applyFont="1" applyAlignment="1">
      <alignment vertical="center"/>
    </xf>
    <xf numFmtId="0" fontId="0" fillId="13" borderId="0" xfId="0" applyFill="1" applyAlignment="1">
      <alignment vertical="center"/>
    </xf>
    <xf numFmtId="3" fontId="18" fillId="13" borderId="0" xfId="0" applyNumberFormat="1" applyFont="1" applyFill="1" applyBorder="1" applyAlignment="1">
      <alignment vertical="center"/>
    </xf>
    <xf numFmtId="3" fontId="0" fillId="37" borderId="16" xfId="0" applyNumberFormat="1" applyFont="1" applyFill="1" applyBorder="1" applyAlignment="1" applyProtection="1">
      <alignment vertical="center"/>
      <protection/>
    </xf>
    <xf numFmtId="3" fontId="0" fillId="37" borderId="17" xfId="0" applyNumberFormat="1" applyFont="1" applyFill="1" applyBorder="1" applyAlignment="1" applyProtection="1">
      <alignment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67" fillId="13" borderId="0" xfId="0" applyFont="1" applyFill="1" applyAlignment="1">
      <alignment vertical="center"/>
    </xf>
    <xf numFmtId="1" fontId="67" fillId="13" borderId="0" xfId="0" applyNumberFormat="1" applyFont="1" applyFill="1" applyAlignment="1">
      <alignment vertical="center"/>
    </xf>
    <xf numFmtId="2" fontId="91" fillId="37" borderId="17" xfId="0" applyNumberFormat="1" applyFont="1" applyFill="1" applyBorder="1" applyAlignment="1">
      <alignment vertical="center"/>
    </xf>
    <xf numFmtId="9" fontId="91" fillId="37" borderId="17" xfId="0" applyNumberFormat="1" applyFont="1" applyFill="1" applyBorder="1" applyAlignment="1">
      <alignment vertical="center"/>
    </xf>
    <xf numFmtId="9" fontId="92" fillId="37" borderId="17" xfId="0" applyNumberFormat="1" applyFont="1" applyFill="1" applyBorder="1" applyAlignment="1">
      <alignment vertical="center"/>
    </xf>
    <xf numFmtId="164" fontId="0" fillId="37" borderId="17" xfId="0" applyNumberFormat="1" applyFont="1" applyFill="1" applyBorder="1" applyAlignment="1">
      <alignment vertical="center"/>
    </xf>
    <xf numFmtId="164" fontId="22" fillId="37" borderId="17" xfId="0" applyNumberFormat="1" applyFont="1" applyFill="1" applyBorder="1" applyAlignment="1">
      <alignment vertical="center"/>
    </xf>
    <xf numFmtId="3" fontId="22" fillId="37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165" fontId="91" fillId="37" borderId="17" xfId="0" applyNumberFormat="1" applyFont="1" applyFill="1" applyBorder="1" applyAlignment="1">
      <alignment vertical="center"/>
    </xf>
    <xf numFmtId="0" fontId="0" fillId="37" borderId="17" xfId="0" applyFont="1" applyFill="1" applyBorder="1" applyAlignment="1" applyProtection="1">
      <alignment vertical="center"/>
      <protection/>
    </xf>
    <xf numFmtId="0" fontId="20" fillId="2" borderId="17" xfId="0" applyFont="1" applyFill="1" applyBorder="1" applyAlignment="1" applyProtection="1">
      <alignment vertical="center"/>
      <protection/>
    </xf>
    <xf numFmtId="3" fontId="67" fillId="2" borderId="17" xfId="0" applyNumberFormat="1" applyFont="1" applyFill="1" applyBorder="1" applyAlignment="1" applyProtection="1">
      <alignment horizontal="right" vertical="center"/>
      <protection/>
    </xf>
    <xf numFmtId="3" fontId="67" fillId="2" borderId="17" xfId="0" applyNumberFormat="1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>
      <alignment vertical="center"/>
    </xf>
    <xf numFmtId="3" fontId="0" fillId="37" borderId="0" xfId="0" applyNumberFormat="1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0" fontId="91" fillId="37" borderId="0" xfId="0" applyFont="1" applyFill="1" applyAlignment="1">
      <alignment vertical="center"/>
    </xf>
    <xf numFmtId="0" fontId="92" fillId="37" borderId="0" xfId="0" applyFont="1" applyFill="1" applyAlignment="1">
      <alignment vertical="center"/>
    </xf>
    <xf numFmtId="0" fontId="93" fillId="37" borderId="0" xfId="0" applyFont="1" applyFill="1" applyAlignment="1">
      <alignment vertical="center"/>
    </xf>
    <xf numFmtId="0" fontId="77" fillId="37" borderId="0" xfId="0" applyFont="1" applyFill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2" borderId="17" xfId="0" applyFont="1" applyFill="1" applyBorder="1" applyAlignment="1" applyProtection="1">
      <alignment vertical="center"/>
      <protection/>
    </xf>
    <xf numFmtId="1" fontId="0" fillId="2" borderId="17" xfId="0" applyNumberFormat="1" applyFont="1" applyFill="1" applyBorder="1" applyAlignment="1" applyProtection="1">
      <alignment horizontal="right" vertical="center"/>
      <protection/>
    </xf>
    <xf numFmtId="3" fontId="0" fillId="2" borderId="17" xfId="0" applyNumberFormat="1" applyFont="1" applyFill="1" applyBorder="1" applyAlignment="1" applyProtection="1">
      <alignment horizontal="right" vertical="center"/>
      <protection/>
    </xf>
    <xf numFmtId="3" fontId="0" fillId="2" borderId="17" xfId="0" applyNumberFormat="1" applyFont="1" applyFill="1" applyBorder="1" applyAlignment="1" applyProtection="1">
      <alignment vertical="center"/>
      <protection/>
    </xf>
    <xf numFmtId="9" fontId="0" fillId="8" borderId="0" xfId="0" applyNumberFormat="1" applyFill="1" applyAlignment="1">
      <alignment vertical="center"/>
    </xf>
    <xf numFmtId="1" fontId="67" fillId="2" borderId="17" xfId="0" applyNumberFormat="1" applyFont="1" applyFill="1" applyBorder="1" applyAlignment="1" applyProtection="1">
      <alignment horizontal="right" vertical="center"/>
      <protection/>
    </xf>
    <xf numFmtId="1" fontId="67" fillId="2" borderId="17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Fill="1" applyBorder="1" applyAlignment="1">
      <alignment vertical="center"/>
    </xf>
    <xf numFmtId="164" fontId="0" fillId="35" borderId="0" xfId="0" applyNumberFormat="1" applyFill="1" applyBorder="1" applyAlignment="1">
      <alignment vertical="center"/>
    </xf>
    <xf numFmtId="166" fontId="0" fillId="35" borderId="0" xfId="0" applyNumberFormat="1" applyFill="1" applyBorder="1" applyAlignment="1">
      <alignment vertical="center"/>
    </xf>
    <xf numFmtId="2" fontId="0" fillId="35" borderId="0" xfId="0" applyNumberForma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67" fillId="16" borderId="17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164" fontId="0" fillId="0" borderId="16" xfId="0" applyNumberFormat="1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>
      <alignment horizontal="center" vertical="top"/>
    </xf>
    <xf numFmtId="0" fontId="101" fillId="0" borderId="0" xfId="0" applyFont="1" applyFill="1" applyBorder="1" applyAlignment="1">
      <alignment horizontal="center" vertical="top"/>
    </xf>
    <xf numFmtId="165" fontId="91" fillId="0" borderId="17" xfId="0" applyNumberFormat="1" applyFont="1" applyBorder="1" applyAlignment="1">
      <alignment vertical="center"/>
    </xf>
    <xf numFmtId="164" fontId="77" fillId="0" borderId="17" xfId="0" applyNumberFormat="1" applyFont="1" applyBorder="1" applyAlignment="1">
      <alignment vertical="center"/>
    </xf>
    <xf numFmtId="0" fontId="85" fillId="38" borderId="17" xfId="0" applyFont="1" applyFill="1" applyBorder="1" applyAlignment="1">
      <alignment horizontal="center" vertical="top"/>
    </xf>
    <xf numFmtId="0" fontId="101" fillId="38" borderId="17" xfId="0" applyFont="1" applyFill="1" applyBorder="1" applyAlignment="1">
      <alignment horizontal="center" vertical="top"/>
    </xf>
    <xf numFmtId="0" fontId="0" fillId="37" borderId="17" xfId="0" applyFont="1" applyFill="1" applyBorder="1" applyAlignment="1">
      <alignment vertical="center"/>
    </xf>
    <xf numFmtId="0" fontId="91" fillId="37" borderId="17" xfId="0" applyFont="1" applyFill="1" applyBorder="1" applyAlignment="1">
      <alignment vertical="center"/>
    </xf>
    <xf numFmtId="0" fontId="92" fillId="37" borderId="17" xfId="0" applyFont="1" applyFill="1" applyBorder="1" applyAlignment="1">
      <alignment vertical="center"/>
    </xf>
    <xf numFmtId="0" fontId="77" fillId="37" borderId="17" xfId="0" applyFont="1" applyFill="1" applyBorder="1" applyAlignment="1">
      <alignment vertical="center"/>
    </xf>
    <xf numFmtId="0" fontId="0" fillId="37" borderId="16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167" fontId="67" fillId="0" borderId="0" xfId="0" applyNumberFormat="1" applyFont="1" applyFill="1" applyBorder="1" applyAlignment="1" applyProtection="1">
      <alignment vertical="center"/>
      <protection/>
    </xf>
    <xf numFmtId="2" fontId="85" fillId="0" borderId="17" xfId="0" applyNumberFormat="1" applyFont="1" applyBorder="1" applyAlignment="1">
      <alignment vertical="center"/>
    </xf>
    <xf numFmtId="9" fontId="85" fillId="37" borderId="17" xfId="0" applyNumberFormat="1" applyFont="1" applyFill="1" applyBorder="1" applyAlignment="1">
      <alignment vertical="center"/>
    </xf>
    <xf numFmtId="165" fontId="0" fillId="37" borderId="17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" fontId="0" fillId="37" borderId="17" xfId="0" applyNumberFormat="1" applyFill="1" applyBorder="1" applyAlignment="1">
      <alignment vertical="center"/>
    </xf>
    <xf numFmtId="9" fontId="0" fillId="35" borderId="0" xfId="0" applyNumberFormat="1" applyFill="1" applyAlignment="1">
      <alignment vertical="center"/>
    </xf>
    <xf numFmtId="0" fontId="67" fillId="16" borderId="17" xfId="0" applyFont="1" applyFill="1" applyBorder="1" applyAlignment="1" applyProtection="1">
      <alignment vertical="center"/>
      <protection/>
    </xf>
    <xf numFmtId="164" fontId="67" fillId="16" borderId="17" xfId="0" applyNumberFormat="1" applyFont="1" applyFill="1" applyBorder="1" applyAlignment="1" applyProtection="1">
      <alignment vertical="center"/>
      <protection/>
    </xf>
    <xf numFmtId="165" fontId="0" fillId="16" borderId="17" xfId="0" applyNumberFormat="1" applyFont="1" applyFill="1" applyBorder="1" applyAlignment="1" applyProtection="1">
      <alignment vertical="center"/>
      <protection/>
    </xf>
    <xf numFmtId="165" fontId="83" fillId="16" borderId="17" xfId="0" applyNumberFormat="1" applyFont="1" applyFill="1" applyBorder="1" applyAlignment="1" applyProtection="1">
      <alignment vertical="center"/>
      <protection/>
    </xf>
    <xf numFmtId="2" fontId="67" fillId="7" borderId="17" xfId="0" applyNumberFormat="1" applyFont="1" applyFill="1" applyBorder="1" applyAlignment="1" applyProtection="1">
      <alignment horizontal="right" vertical="center"/>
      <protection/>
    </xf>
    <xf numFmtId="167" fontId="67" fillId="7" borderId="17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" fontId="0" fillId="33" borderId="0" xfId="0" applyNumberFormat="1" applyFill="1" applyAlignment="1">
      <alignment vertical="center"/>
    </xf>
    <xf numFmtId="2" fontId="93" fillId="37" borderId="17" xfId="0" applyNumberFormat="1" applyFont="1" applyFill="1" applyBorder="1" applyAlignment="1">
      <alignment vertical="center"/>
    </xf>
    <xf numFmtId="9" fontId="85" fillId="0" borderId="17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3" fontId="67" fillId="0" borderId="20" xfId="0" applyNumberFormat="1" applyFont="1" applyBorder="1" applyAlignment="1">
      <alignment vertical="center"/>
    </xf>
    <xf numFmtId="3" fontId="67" fillId="37" borderId="20" xfId="0" applyNumberFormat="1" applyFont="1" applyFill="1" applyBorder="1" applyAlignment="1">
      <alignment vertical="center"/>
    </xf>
    <xf numFmtId="3" fontId="82" fillId="37" borderId="20" xfId="0" applyNumberFormat="1" applyFont="1" applyFill="1" applyBorder="1" applyAlignment="1">
      <alignment vertical="center"/>
    </xf>
    <xf numFmtId="3" fontId="84" fillId="0" borderId="2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3" fontId="89" fillId="0" borderId="0" xfId="0" applyNumberFormat="1" applyFont="1" applyFill="1" applyBorder="1" applyAlignment="1">
      <alignment vertical="center"/>
    </xf>
    <xf numFmtId="3" fontId="67" fillId="13" borderId="20" xfId="0" applyNumberFormat="1" applyFont="1" applyFill="1" applyBorder="1" applyAlignment="1">
      <alignment vertical="center"/>
    </xf>
    <xf numFmtId="0" fontId="67" fillId="37" borderId="17" xfId="0" applyFont="1" applyFill="1" applyBorder="1" applyAlignment="1">
      <alignment vertical="center"/>
    </xf>
    <xf numFmtId="3" fontId="67" fillId="0" borderId="17" xfId="0" applyNumberFormat="1" applyFont="1" applyBorder="1" applyAlignment="1">
      <alignment vertical="center"/>
    </xf>
    <xf numFmtId="16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0" fontId="82" fillId="37" borderId="17" xfId="0" applyFont="1" applyFill="1" applyBorder="1" applyAlignment="1" applyProtection="1">
      <alignment vertical="center"/>
      <protection/>
    </xf>
    <xf numFmtId="0" fontId="22" fillId="7" borderId="17" xfId="0" applyFont="1" applyFill="1" applyBorder="1" applyAlignment="1" applyProtection="1">
      <alignment vertical="center"/>
      <protection/>
    </xf>
    <xf numFmtId="2" fontId="0" fillId="7" borderId="17" xfId="0" applyNumberFormat="1" applyFont="1" applyFill="1" applyBorder="1" applyAlignment="1" applyProtection="1">
      <alignment horizontal="right" vertical="center"/>
      <protection/>
    </xf>
    <xf numFmtId="167" fontId="0" fillId="7" borderId="17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82" fillId="0" borderId="0" xfId="0" applyFont="1" applyAlignment="1">
      <alignment vertical="center"/>
    </xf>
    <xf numFmtId="167" fontId="0" fillId="0" borderId="0" xfId="0" applyNumberFormat="1" applyFont="1" applyFill="1" applyBorder="1" applyAlignment="1" applyProtection="1">
      <alignment vertical="center"/>
      <protection/>
    </xf>
    <xf numFmtId="2" fontId="93" fillId="0" borderId="17" xfId="0" applyNumberFormat="1" applyFont="1" applyBorder="1" applyAlignment="1">
      <alignment vertical="center"/>
    </xf>
    <xf numFmtId="0" fontId="82" fillId="37" borderId="0" xfId="0" applyFont="1" applyFill="1" applyBorder="1" applyAlignment="1">
      <alignment vertical="center"/>
    </xf>
    <xf numFmtId="0" fontId="67" fillId="38" borderId="17" xfId="0" applyFont="1" applyFill="1" applyBorder="1" applyAlignment="1">
      <alignment vertical="center"/>
    </xf>
    <xf numFmtId="3" fontId="67" fillId="38" borderId="17" xfId="0" applyNumberFormat="1" applyFont="1" applyFill="1" applyBorder="1" applyAlignment="1">
      <alignment vertical="center"/>
    </xf>
    <xf numFmtId="166" fontId="77" fillId="38" borderId="17" xfId="0" applyNumberFormat="1" applyFont="1" applyFill="1" applyBorder="1" applyAlignment="1">
      <alignment vertical="center"/>
    </xf>
    <xf numFmtId="3" fontId="67" fillId="38" borderId="0" xfId="0" applyNumberFormat="1" applyFont="1" applyFill="1" applyBorder="1" applyAlignment="1">
      <alignment vertical="center"/>
    </xf>
    <xf numFmtId="3" fontId="20" fillId="38" borderId="0" xfId="0" applyNumberFormat="1" applyFont="1" applyFill="1" applyBorder="1" applyAlignment="1">
      <alignment vertical="center"/>
    </xf>
    <xf numFmtId="4" fontId="20" fillId="38" borderId="0" xfId="0" applyNumberFormat="1" applyFont="1" applyFill="1" applyBorder="1" applyAlignment="1">
      <alignment vertical="center"/>
    </xf>
    <xf numFmtId="4" fontId="88" fillId="19" borderId="0" xfId="0" applyNumberFormat="1" applyFont="1" applyFill="1" applyBorder="1" applyAlignment="1">
      <alignment vertical="center"/>
    </xf>
    <xf numFmtId="0" fontId="82" fillId="13" borderId="0" xfId="0" applyFont="1" applyFill="1" applyAlignment="1">
      <alignment vertical="center"/>
    </xf>
    <xf numFmtId="2" fontId="82" fillId="0" borderId="0" xfId="0" applyNumberFormat="1" applyFont="1" applyAlignment="1">
      <alignment vertical="center"/>
    </xf>
    <xf numFmtId="3" fontId="82" fillId="0" borderId="0" xfId="0" applyNumberFormat="1" applyFont="1" applyAlignment="1">
      <alignment vertical="center"/>
    </xf>
    <xf numFmtId="2" fontId="82" fillId="19" borderId="0" xfId="0" applyNumberFormat="1" applyFont="1" applyFill="1" applyAlignment="1">
      <alignment vertical="center"/>
    </xf>
    <xf numFmtId="164" fontId="0" fillId="0" borderId="17" xfId="0" applyNumberFormat="1" applyFont="1" applyBorder="1" applyAlignment="1" applyProtection="1">
      <alignment/>
      <protection locked="0"/>
    </xf>
    <xf numFmtId="0" fontId="82" fillId="0" borderId="0" xfId="0" applyFont="1" applyAlignment="1" applyProtection="1">
      <alignment vertical="center"/>
      <protection/>
    </xf>
    <xf numFmtId="2" fontId="0" fillId="7" borderId="17" xfId="0" applyNumberFormat="1" applyFill="1" applyBorder="1" applyAlignment="1" applyProtection="1">
      <alignment horizontal="right" vertical="center"/>
      <protection/>
    </xf>
    <xf numFmtId="170" fontId="0" fillId="37" borderId="17" xfId="0" applyNumberFormat="1" applyFont="1" applyFill="1" applyBorder="1" applyAlignment="1" applyProtection="1">
      <alignment vertical="center"/>
      <protection/>
    </xf>
    <xf numFmtId="170" fontId="0" fillId="0" borderId="0" xfId="0" applyNumberFormat="1" applyFont="1" applyFill="1" applyBorder="1" applyAlignment="1" applyProtection="1">
      <alignment vertical="center"/>
      <protection/>
    </xf>
    <xf numFmtId="3" fontId="67" fillId="0" borderId="0" xfId="0" applyNumberFormat="1" applyFont="1" applyFill="1" applyBorder="1" applyAlignment="1">
      <alignment horizontal="center" vertical="center"/>
    </xf>
    <xf numFmtId="3" fontId="84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88" fillId="0" borderId="0" xfId="0" applyNumberFormat="1" applyFont="1" applyFill="1" applyBorder="1" applyAlignment="1">
      <alignment horizontal="center" vertical="center"/>
    </xf>
    <xf numFmtId="3" fontId="89" fillId="0" borderId="0" xfId="0" applyNumberFormat="1" applyFont="1" applyFill="1" applyBorder="1" applyAlignment="1">
      <alignment horizontal="center" vertical="center"/>
    </xf>
    <xf numFmtId="170" fontId="82" fillId="13" borderId="0" xfId="0" applyNumberFormat="1" applyFont="1" applyFill="1" applyAlignment="1">
      <alignment vertical="center"/>
    </xf>
    <xf numFmtId="170" fontId="0" fillId="7" borderId="17" xfId="0" applyNumberFormat="1" applyFont="1" applyFill="1" applyBorder="1" applyAlignment="1" applyProtection="1">
      <alignment vertical="center"/>
      <protection/>
    </xf>
    <xf numFmtId="164" fontId="67" fillId="0" borderId="14" xfId="0" applyNumberFormat="1" applyFont="1" applyBorder="1" applyAlignment="1">
      <alignment vertical="center"/>
    </xf>
    <xf numFmtId="3" fontId="67" fillId="0" borderId="17" xfId="0" applyNumberFormat="1" applyFont="1" applyFill="1" applyBorder="1" applyAlignment="1">
      <alignment horizontal="center" vertical="center"/>
    </xf>
    <xf numFmtId="170" fontId="82" fillId="0" borderId="0" xfId="0" applyNumberFormat="1" applyFont="1" applyAlignment="1">
      <alignment vertical="center"/>
    </xf>
    <xf numFmtId="3" fontId="0" fillId="22" borderId="17" xfId="0" applyNumberFormat="1" applyFont="1" applyFill="1" applyBorder="1" applyAlignment="1">
      <alignment vertical="center"/>
    </xf>
    <xf numFmtId="164" fontId="67" fillId="0" borderId="17" xfId="0" applyNumberFormat="1" applyFont="1" applyBorder="1" applyAlignment="1">
      <alignment vertical="center"/>
    </xf>
    <xf numFmtId="3" fontId="82" fillId="0" borderId="17" xfId="0" applyNumberFormat="1" applyFont="1" applyBorder="1" applyAlignment="1">
      <alignment vertical="center"/>
    </xf>
    <xf numFmtId="3" fontId="84" fillId="0" borderId="17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84" fillId="0" borderId="17" xfId="0" applyNumberFormat="1" applyFont="1" applyFill="1" applyBorder="1" applyAlignment="1">
      <alignment vertical="center"/>
    </xf>
    <xf numFmtId="3" fontId="88" fillId="0" borderId="17" xfId="0" applyNumberFormat="1" applyFont="1" applyFill="1" applyBorder="1" applyAlignment="1">
      <alignment vertical="center"/>
    </xf>
    <xf numFmtId="3" fontId="89" fillId="0" borderId="17" xfId="0" applyNumberFormat="1" applyFont="1" applyFill="1" applyBorder="1" applyAlignment="1">
      <alignment vertical="center"/>
    </xf>
    <xf numFmtId="169" fontId="82" fillId="17" borderId="0" xfId="0" applyNumberFormat="1" applyFont="1" applyFill="1" applyAlignment="1">
      <alignment vertical="center"/>
    </xf>
    <xf numFmtId="0" fontId="83" fillId="0" borderId="0" xfId="0" applyFont="1" applyAlignment="1" applyProtection="1">
      <alignment vertical="center"/>
      <protection/>
    </xf>
    <xf numFmtId="165" fontId="82" fillId="0" borderId="0" xfId="0" applyNumberFormat="1" applyFont="1" applyBorder="1" applyAlignment="1">
      <alignment vertical="center"/>
    </xf>
    <xf numFmtId="0" fontId="90" fillId="16" borderId="17" xfId="0" applyFont="1" applyFill="1" applyBorder="1" applyAlignment="1" applyProtection="1">
      <alignment/>
      <protection/>
    </xf>
    <xf numFmtId="164" fontId="90" fillId="16" borderId="17" xfId="0" applyNumberFormat="1" applyFont="1" applyFill="1" applyBorder="1" applyAlignment="1" applyProtection="1">
      <alignment/>
      <protection/>
    </xf>
    <xf numFmtId="165" fontId="67" fillId="0" borderId="0" xfId="0" applyNumberFormat="1" applyFont="1" applyBorder="1" applyAlignment="1">
      <alignment vertical="center"/>
    </xf>
    <xf numFmtId="3" fontId="67" fillId="22" borderId="17" xfId="0" applyNumberFormat="1" applyFont="1" applyFill="1" applyBorder="1" applyAlignment="1">
      <alignment vertical="center"/>
    </xf>
    <xf numFmtId="3" fontId="67" fillId="7" borderId="17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top" wrapText="1"/>
    </xf>
    <xf numFmtId="3" fontId="67" fillId="33" borderId="0" xfId="0" applyNumberFormat="1" applyFont="1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82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84" fillId="0" borderId="0" xfId="0" applyNumberFormat="1" applyFont="1" applyFill="1" applyAlignment="1">
      <alignment vertical="center"/>
    </xf>
    <xf numFmtId="3" fontId="88" fillId="0" borderId="0" xfId="0" applyNumberFormat="1" applyFont="1" applyFill="1" applyAlignment="1">
      <alignment vertical="center"/>
    </xf>
    <xf numFmtId="3" fontId="89" fillId="0" borderId="0" xfId="0" applyNumberFormat="1" applyFont="1" applyFill="1" applyAlignment="1">
      <alignment vertical="center"/>
    </xf>
    <xf numFmtId="0" fontId="85" fillId="0" borderId="0" xfId="0" applyFont="1" applyAlignment="1">
      <alignment vertical="center"/>
    </xf>
    <xf numFmtId="3" fontId="84" fillId="0" borderId="0" xfId="0" applyNumberFormat="1" applyFont="1" applyFill="1" applyBorder="1" applyAlignment="1">
      <alignment vertical="center"/>
    </xf>
    <xf numFmtId="169" fontId="84" fillId="0" borderId="0" xfId="0" applyNumberFormat="1" applyFont="1" applyFill="1" applyBorder="1" applyAlignment="1">
      <alignment vertical="center"/>
    </xf>
    <xf numFmtId="169" fontId="8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0" borderId="17" xfId="0" applyFont="1" applyBorder="1" applyAlignment="1">
      <alignment/>
    </xf>
    <xf numFmtId="164" fontId="67" fillId="0" borderId="0" xfId="0" applyNumberFormat="1" applyFont="1" applyAlignment="1">
      <alignment vertical="center"/>
    </xf>
    <xf numFmtId="3" fontId="67" fillId="13" borderId="0" xfId="0" applyNumberFormat="1" applyFont="1" applyFill="1" applyAlignment="1">
      <alignment vertical="center"/>
    </xf>
    <xf numFmtId="170" fontId="84" fillId="13" borderId="0" xfId="0" applyNumberFormat="1" applyFont="1" applyFill="1" applyAlignment="1">
      <alignment vertical="center"/>
    </xf>
    <xf numFmtId="170" fontId="20" fillId="13" borderId="0" xfId="0" applyNumberFormat="1" applyFont="1" applyFill="1" applyAlignment="1">
      <alignment vertical="center"/>
    </xf>
    <xf numFmtId="9" fontId="93" fillId="0" borderId="0" xfId="0" applyNumberFormat="1" applyFont="1" applyFill="1" applyBorder="1" applyAlignment="1">
      <alignment vertical="center"/>
    </xf>
    <xf numFmtId="9" fontId="95" fillId="0" borderId="0" xfId="0" applyNumberFormat="1" applyFont="1" applyFill="1" applyBorder="1" applyAlignment="1">
      <alignment vertical="center"/>
    </xf>
    <xf numFmtId="170" fontId="88" fillId="0" borderId="0" xfId="0" applyNumberFormat="1" applyFont="1" applyFill="1" applyAlignment="1">
      <alignment vertical="center"/>
    </xf>
    <xf numFmtId="165" fontId="0" fillId="0" borderId="0" xfId="0" applyNumberFormat="1" applyFill="1" applyBorder="1" applyAlignment="1">
      <alignment vertical="center"/>
    </xf>
    <xf numFmtId="3" fontId="67" fillId="13" borderId="17" xfId="0" applyNumberFormat="1" applyFont="1" applyFill="1" applyBorder="1" applyAlignment="1">
      <alignment vertical="center"/>
    </xf>
    <xf numFmtId="2" fontId="85" fillId="0" borderId="0" xfId="0" applyNumberFormat="1" applyFont="1" applyAlignment="1">
      <alignment vertical="center"/>
    </xf>
    <xf numFmtId="3" fontId="85" fillId="0" borderId="0" xfId="0" applyNumberFormat="1" applyFont="1" applyAlignment="1">
      <alignment vertical="center"/>
    </xf>
    <xf numFmtId="0" fontId="0" fillId="0" borderId="17" xfId="0" applyFont="1" applyBorder="1" applyAlignment="1">
      <alignment vertical="center"/>
    </xf>
    <xf numFmtId="165" fontId="91" fillId="0" borderId="0" xfId="0" applyNumberFormat="1" applyFont="1" applyBorder="1" applyAlignment="1">
      <alignment vertical="center"/>
    </xf>
    <xf numFmtId="0" fontId="91" fillId="0" borderId="0" xfId="0" applyFont="1" applyAlignment="1">
      <alignment/>
    </xf>
    <xf numFmtId="0" fontId="0" fillId="13" borderId="0" xfId="0" applyFill="1" applyAlignment="1">
      <alignment/>
    </xf>
    <xf numFmtId="3" fontId="67" fillId="0" borderId="17" xfId="0" applyNumberFormat="1" applyFont="1" applyBorder="1" applyAlignment="1">
      <alignment/>
    </xf>
    <xf numFmtId="0" fontId="77" fillId="0" borderId="0" xfId="0" applyFont="1" applyAlignment="1">
      <alignment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67" fillId="0" borderId="0" xfId="0" applyNumberFormat="1" applyFont="1" applyFill="1" applyBorder="1" applyAlignment="1" applyProtection="1">
      <alignment vertical="center"/>
      <protection/>
    </xf>
    <xf numFmtId="3" fontId="67" fillId="13" borderId="0" xfId="0" applyNumberFormat="1" applyFont="1" applyFill="1" applyAlignment="1">
      <alignment/>
    </xf>
    <xf numFmtId="1" fontId="85" fillId="0" borderId="0" xfId="0" applyNumberFormat="1" applyFont="1" applyAlignment="1">
      <alignment vertical="center"/>
    </xf>
    <xf numFmtId="0" fontId="0" fillId="0" borderId="0" xfId="0" applyFill="1" applyBorder="1" applyAlignment="1">
      <alignment/>
    </xf>
    <xf numFmtId="2" fontId="67" fillId="0" borderId="0" xfId="0" applyNumberFormat="1" applyFont="1" applyBorder="1" applyAlignment="1">
      <alignment vertical="center"/>
    </xf>
    <xf numFmtId="2" fontId="82" fillId="0" borderId="0" xfId="0" applyNumberFormat="1" applyFont="1" applyBorder="1" applyAlignment="1">
      <alignment vertical="center"/>
    </xf>
    <xf numFmtId="0" fontId="94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67" fillId="0" borderId="0" xfId="0" applyNumberFormat="1" applyFont="1" applyBorder="1" applyAlignment="1">
      <alignment/>
    </xf>
    <xf numFmtId="164" fontId="82" fillId="0" borderId="0" xfId="0" applyNumberFormat="1" applyFont="1" applyBorder="1" applyAlignment="1">
      <alignment/>
    </xf>
    <xf numFmtId="2" fontId="83" fillId="4" borderId="20" xfId="0" applyNumberFormat="1" applyFont="1" applyFill="1" applyBorder="1" applyAlignment="1" applyProtection="1">
      <alignment vertical="center"/>
      <protection/>
    </xf>
    <xf numFmtId="2" fontId="83" fillId="4" borderId="17" xfId="0" applyNumberFormat="1" applyFont="1" applyFill="1" applyBorder="1" applyAlignment="1" applyProtection="1">
      <alignment vertical="center"/>
      <protection/>
    </xf>
    <xf numFmtId="2" fontId="83" fillId="37" borderId="17" xfId="0" applyNumberFormat="1" applyFont="1" applyFill="1" applyBorder="1" applyAlignment="1" applyProtection="1">
      <alignment vertical="center"/>
      <protection/>
    </xf>
    <xf numFmtId="2" fontId="83" fillId="4" borderId="17" xfId="0" applyNumberFormat="1" applyFont="1" applyFill="1" applyBorder="1" applyAlignment="1" applyProtection="1">
      <alignment/>
      <protection/>
    </xf>
    <xf numFmtId="169" fontId="0" fillId="33" borderId="0" xfId="0" applyNumberFormat="1" applyFill="1" applyAlignment="1">
      <alignment/>
    </xf>
    <xf numFmtId="0" fontId="67" fillId="0" borderId="0" xfId="0" applyFont="1" applyBorder="1" applyAlignment="1" applyProtection="1">
      <alignment horizontal="right" vertical="center"/>
      <protection/>
    </xf>
    <xf numFmtId="0" fontId="102" fillId="0" borderId="0" xfId="0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/>
      <protection/>
    </xf>
    <xf numFmtId="2" fontId="0" fillId="0" borderId="17" xfId="0" applyNumberFormat="1" applyFont="1" applyFill="1" applyBorder="1" applyAlignment="1" applyProtection="1">
      <alignment vertic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90" fillId="0" borderId="0" xfId="0" applyFont="1" applyBorder="1" applyAlignment="1" applyProtection="1">
      <alignment horizontal="center" vertical="center"/>
      <protection locked="0"/>
    </xf>
    <xf numFmtId="164" fontId="67" fillId="16" borderId="0" xfId="0" applyNumberFormat="1" applyFont="1" applyFill="1" applyBorder="1" applyAlignment="1" applyProtection="1">
      <alignment vertical="center"/>
      <protection/>
    </xf>
    <xf numFmtId="164" fontId="90" fillId="16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170" fontId="67" fillId="7" borderId="17" xfId="0" applyNumberFormat="1" applyFont="1" applyFill="1" applyBorder="1" applyAlignment="1" applyProtection="1">
      <alignment horizontal="right" vertical="center"/>
      <protection/>
    </xf>
    <xf numFmtId="164" fontId="0" fillId="0" borderId="20" xfId="0" applyNumberFormat="1" applyFont="1" applyBorder="1" applyAlignment="1" applyProtection="1">
      <alignment vertical="center"/>
      <protection/>
    </xf>
    <xf numFmtId="164" fontId="0" fillId="0" borderId="17" xfId="0" applyNumberFormat="1" applyFont="1" applyBorder="1" applyAlignment="1" applyProtection="1">
      <alignment vertical="center"/>
      <protection/>
    </xf>
    <xf numFmtId="164" fontId="67" fillId="0" borderId="17" xfId="0" applyNumberFormat="1" applyFont="1" applyBorder="1" applyAlignment="1" applyProtection="1">
      <alignment vertical="top"/>
      <protection/>
    </xf>
    <xf numFmtId="0" fontId="90" fillId="0" borderId="0" xfId="0" applyFont="1" applyBorder="1" applyAlignment="1" applyProtection="1">
      <alignment vertical="center"/>
      <protection/>
    </xf>
    <xf numFmtId="0" fontId="28" fillId="19" borderId="17" xfId="0" applyFont="1" applyFill="1" applyBorder="1" applyAlignment="1" applyProtection="1">
      <alignment vertical="center"/>
      <protection/>
    </xf>
    <xf numFmtId="0" fontId="28" fillId="14" borderId="17" xfId="0" applyFont="1" applyFill="1" applyBorder="1" applyAlignment="1" applyProtection="1">
      <alignment vertical="center"/>
      <protection/>
    </xf>
    <xf numFmtId="49" fontId="67" fillId="22" borderId="17" xfId="0" applyNumberFormat="1" applyFont="1" applyFill="1" applyBorder="1" applyAlignment="1" applyProtection="1">
      <alignment horizontal="center" vertical="center" wrapText="1"/>
      <protection/>
    </xf>
    <xf numFmtId="3" fontId="0" fillId="22" borderId="17" xfId="0" applyNumberFormat="1" applyFont="1" applyFill="1" applyBorder="1" applyAlignment="1">
      <alignment horizontal="left" vertical="center"/>
    </xf>
    <xf numFmtId="3" fontId="67" fillId="22" borderId="17" xfId="0" applyNumberFormat="1" applyFont="1" applyFill="1" applyBorder="1" applyAlignment="1">
      <alignment horizontal="left" vertical="center"/>
    </xf>
    <xf numFmtId="0" fontId="67" fillId="11" borderId="17" xfId="0" applyFont="1" applyFill="1" applyBorder="1" applyAlignment="1" applyProtection="1">
      <alignment vertical="center"/>
      <protection/>
    </xf>
    <xf numFmtId="0" fontId="67" fillId="5" borderId="17" xfId="0" applyFont="1" applyFill="1" applyBorder="1" applyAlignment="1" applyProtection="1">
      <alignment vertical="center"/>
      <protection/>
    </xf>
    <xf numFmtId="171" fontId="67" fillId="11" borderId="17" xfId="0" applyNumberFormat="1" applyFont="1" applyFill="1" applyBorder="1" applyAlignment="1" applyProtection="1">
      <alignment vertical="center"/>
      <protection/>
    </xf>
    <xf numFmtId="166" fontId="67" fillId="10" borderId="17" xfId="0" applyNumberFormat="1" applyFont="1" applyFill="1" applyBorder="1" applyAlignment="1" applyProtection="1">
      <alignment horizontal="center" vertical="center"/>
      <protection/>
    </xf>
    <xf numFmtId="166" fontId="67" fillId="10" borderId="16" xfId="0" applyNumberFormat="1" applyFont="1" applyFill="1" applyBorder="1" applyAlignment="1" applyProtection="1">
      <alignment horizontal="center" vertical="center"/>
      <protection/>
    </xf>
    <xf numFmtId="0" fontId="28" fillId="14" borderId="17" xfId="0" applyFont="1" applyFill="1" applyBorder="1" applyAlignment="1" applyProtection="1">
      <alignment horizontal="center"/>
      <protection/>
    </xf>
    <xf numFmtId="0" fontId="20" fillId="7" borderId="17" xfId="0" applyFont="1" applyFill="1" applyBorder="1" applyAlignment="1" applyProtection="1">
      <alignment/>
      <protection/>
    </xf>
    <xf numFmtId="0" fontId="90" fillId="19" borderId="17" xfId="0" applyFont="1" applyFill="1" applyBorder="1" applyAlignment="1" applyProtection="1">
      <alignment horizontal="center"/>
      <protection/>
    </xf>
    <xf numFmtId="0" fontId="2" fillId="22" borderId="16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172" fontId="67" fillId="0" borderId="0" xfId="0" applyNumberFormat="1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/>
      <protection/>
    </xf>
    <xf numFmtId="49" fontId="67" fillId="40" borderId="14" xfId="0" applyNumberFormat="1" applyFont="1" applyFill="1" applyBorder="1" applyAlignment="1" applyProtection="1">
      <alignment horizontal="center" vertical="center" wrapText="1" shrinkToFit="1"/>
      <protection/>
    </xf>
    <xf numFmtId="3" fontId="67" fillId="22" borderId="17" xfId="0" applyNumberFormat="1" applyFont="1" applyFill="1" applyBorder="1" applyAlignment="1" applyProtection="1">
      <alignment vertical="center"/>
      <protection/>
    </xf>
    <xf numFmtId="1" fontId="103" fillId="0" borderId="17" xfId="0" applyNumberFormat="1" applyFont="1" applyFill="1" applyBorder="1" applyAlignment="1" applyProtection="1">
      <alignment vertical="center"/>
      <protection locked="0"/>
    </xf>
    <xf numFmtId="165" fontId="103" fillId="37" borderId="17" xfId="0" applyNumberFormat="1" applyFont="1" applyFill="1" applyBorder="1" applyAlignment="1" applyProtection="1">
      <alignment vertical="center"/>
      <protection/>
    </xf>
    <xf numFmtId="0" fontId="103" fillId="22" borderId="17" xfId="0" applyFont="1" applyFill="1" applyBorder="1" applyAlignment="1" applyProtection="1">
      <alignment vertical="center"/>
      <protection/>
    </xf>
    <xf numFmtId="0" fontId="20" fillId="37" borderId="17" xfId="0" applyFont="1" applyFill="1" applyBorder="1" applyAlignment="1">
      <alignment horizontal="center"/>
    </xf>
    <xf numFmtId="0" fontId="90" fillId="37" borderId="17" xfId="0" applyFont="1" applyFill="1" applyBorder="1" applyAlignment="1">
      <alignment/>
    </xf>
    <xf numFmtId="0" fontId="104" fillId="37" borderId="17" xfId="0" applyFont="1" applyFill="1" applyBorder="1" applyAlignment="1">
      <alignment/>
    </xf>
    <xf numFmtId="0" fontId="104" fillId="0" borderId="0" xfId="0" applyFont="1" applyAlignment="1">
      <alignment/>
    </xf>
    <xf numFmtId="0" fontId="28" fillId="37" borderId="17" xfId="0" applyFont="1" applyFill="1" applyBorder="1" applyAlignment="1">
      <alignment horizontal="center"/>
    </xf>
    <xf numFmtId="0" fontId="90" fillId="37" borderId="17" xfId="0" applyFont="1" applyFill="1" applyBorder="1" applyAlignment="1">
      <alignment horizontal="center" wrapText="1"/>
    </xf>
    <xf numFmtId="0" fontId="28" fillId="37" borderId="16" xfId="0" applyFont="1" applyFill="1" applyBorder="1" applyAlignment="1">
      <alignment horizontal="center"/>
    </xf>
    <xf numFmtId="0" fontId="90" fillId="37" borderId="16" xfId="0" applyFont="1" applyFill="1" applyBorder="1" applyAlignment="1">
      <alignment horizontal="center" wrapText="1"/>
    </xf>
    <xf numFmtId="0" fontId="28" fillId="37" borderId="21" xfId="0" applyFont="1" applyFill="1" applyBorder="1" applyAlignment="1">
      <alignment horizontal="center"/>
    </xf>
    <xf numFmtId="0" fontId="28" fillId="37" borderId="22" xfId="0" applyFont="1" applyFill="1" applyBorder="1" applyAlignment="1">
      <alignment horizontal="center"/>
    </xf>
    <xf numFmtId="0" fontId="90" fillId="37" borderId="23" xfId="0" applyFont="1" applyFill="1" applyBorder="1" applyAlignment="1">
      <alignment horizontal="center" wrapText="1"/>
    </xf>
    <xf numFmtId="0" fontId="90" fillId="37" borderId="24" xfId="0" applyFont="1" applyFill="1" applyBorder="1" applyAlignment="1">
      <alignment horizontal="center" wrapText="1"/>
    </xf>
    <xf numFmtId="0" fontId="90" fillId="37" borderId="25" xfId="0" applyFont="1" applyFill="1" applyBorder="1" applyAlignment="1">
      <alignment horizontal="center" wrapText="1"/>
    </xf>
    <xf numFmtId="2" fontId="103" fillId="22" borderId="17" xfId="0" applyNumberFormat="1" applyFont="1" applyFill="1" applyBorder="1" applyAlignment="1" applyProtection="1">
      <alignment horizontal="right" vertical="center"/>
      <protection/>
    </xf>
    <xf numFmtId="167" fontId="103" fillId="22" borderId="17" xfId="0" applyNumberFormat="1" applyFont="1" applyFill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105" fillId="0" borderId="0" xfId="0" applyFont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left" vertical="center"/>
      <protection/>
    </xf>
    <xf numFmtId="0" fontId="67" fillId="4" borderId="17" xfId="0" applyFont="1" applyFill="1" applyBorder="1" applyAlignment="1" applyProtection="1">
      <alignment vertical="center"/>
      <protection/>
    </xf>
    <xf numFmtId="0" fontId="67" fillId="4" borderId="2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" fontId="67" fillId="0" borderId="0" xfId="0" applyNumberFormat="1" applyFont="1" applyFill="1" applyBorder="1" applyAlignment="1" applyProtection="1">
      <alignment vertical="center"/>
      <protection/>
    </xf>
    <xf numFmtId="1" fontId="107" fillId="0" borderId="0" xfId="0" applyNumberFormat="1" applyFont="1" applyFill="1" applyBorder="1" applyAlignment="1" applyProtection="1">
      <alignment vertical="center"/>
      <protection/>
    </xf>
    <xf numFmtId="0" fontId="67" fillId="11" borderId="17" xfId="0" applyFont="1" applyFill="1" applyBorder="1" applyAlignment="1" applyProtection="1">
      <alignment horizontal="center" vertical="center"/>
      <protection/>
    </xf>
    <xf numFmtId="172" fontId="0" fillId="5" borderId="17" xfId="0" applyNumberFormat="1" applyFont="1" applyFill="1" applyBorder="1" applyAlignment="1" applyProtection="1">
      <alignment horizontal="center" vertical="center"/>
      <protection/>
    </xf>
    <xf numFmtId="172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67" fillId="11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/>
      <protection locked="0"/>
    </xf>
    <xf numFmtId="0" fontId="22" fillId="41" borderId="17" xfId="0" applyFont="1" applyFill="1" applyBorder="1" applyAlignment="1" applyProtection="1">
      <alignment horizontal="left"/>
      <protection locked="0"/>
    </xf>
    <xf numFmtId="0" fontId="22" fillId="41" borderId="17" xfId="0" applyFont="1" applyFill="1" applyBorder="1" applyAlignment="1" applyProtection="1">
      <alignment horizontal="center"/>
      <protection locked="0"/>
    </xf>
    <xf numFmtId="0" fontId="20" fillId="41" borderId="17" xfId="0" applyFont="1" applyFill="1" applyBorder="1" applyAlignment="1" applyProtection="1">
      <alignment horizontal="left"/>
      <protection locked="0"/>
    </xf>
    <xf numFmtId="164" fontId="1" fillId="36" borderId="17" xfId="0" applyNumberFormat="1" applyFont="1" applyFill="1" applyBorder="1" applyAlignment="1" applyProtection="1">
      <alignment horizontal="right" vertical="center"/>
      <protection/>
    </xf>
    <xf numFmtId="0" fontId="20" fillId="40" borderId="17" xfId="0" applyFont="1" applyFill="1" applyBorder="1" applyAlignment="1" applyProtection="1">
      <alignment horizontal="center"/>
      <protection/>
    </xf>
    <xf numFmtId="0" fontId="67" fillId="36" borderId="17" xfId="0" applyFont="1" applyFill="1" applyBorder="1" applyAlignment="1" applyProtection="1">
      <alignment vertical="center"/>
      <protection/>
    </xf>
    <xf numFmtId="0" fontId="0" fillId="36" borderId="17" xfId="0" applyFont="1" applyFill="1" applyBorder="1" applyAlignment="1" applyProtection="1">
      <alignment vertical="center"/>
      <protection/>
    </xf>
    <xf numFmtId="164" fontId="0" fillId="0" borderId="17" xfId="0" applyNumberFormat="1" applyFont="1" applyBorder="1" applyAlignment="1" applyProtection="1">
      <alignment vertical="top"/>
      <protection locked="0"/>
    </xf>
    <xf numFmtId="164" fontId="0" fillId="37" borderId="17" xfId="0" applyNumberFormat="1" applyFont="1" applyFill="1" applyBorder="1" applyAlignment="1">
      <alignment/>
    </xf>
    <xf numFmtId="164" fontId="90" fillId="37" borderId="26" xfId="0" applyNumberFormat="1" applyFont="1" applyFill="1" applyBorder="1" applyAlignment="1">
      <alignment/>
    </xf>
    <xf numFmtId="164" fontId="90" fillId="37" borderId="27" xfId="0" applyNumberFormat="1" applyFont="1" applyFill="1" applyBorder="1" applyAlignment="1">
      <alignment/>
    </xf>
    <xf numFmtId="164" fontId="90" fillId="37" borderId="28" xfId="0" applyNumberFormat="1" applyFont="1" applyFill="1" applyBorder="1" applyAlignment="1">
      <alignment/>
    </xf>
    <xf numFmtId="164" fontId="90" fillId="37" borderId="16" xfId="0" applyNumberFormat="1" applyFont="1" applyFill="1" applyBorder="1" applyAlignment="1">
      <alignment/>
    </xf>
    <xf numFmtId="164" fontId="90" fillId="37" borderId="17" xfId="0" applyNumberFormat="1" applyFont="1" applyFill="1" applyBorder="1" applyAlignment="1">
      <alignment/>
    </xf>
    <xf numFmtId="0" fontId="83" fillId="0" borderId="29" xfId="0" applyFont="1" applyBorder="1" applyAlignment="1" applyProtection="1">
      <alignment vertical="center"/>
      <protection/>
    </xf>
    <xf numFmtId="0" fontId="83" fillId="0" borderId="0" xfId="0" applyFont="1" applyBorder="1" applyAlignment="1" applyProtection="1">
      <alignment vertical="center"/>
      <protection/>
    </xf>
    <xf numFmtId="0" fontId="33" fillId="0" borderId="0" xfId="0" applyFont="1" applyAlignment="1">
      <alignment/>
    </xf>
    <xf numFmtId="0" fontId="20" fillId="22" borderId="17" xfId="0" applyFont="1" applyFill="1" applyBorder="1" applyAlignment="1">
      <alignment horizontal="center"/>
    </xf>
    <xf numFmtId="0" fontId="22" fillId="22" borderId="17" xfId="0" applyFont="1" applyFill="1" applyBorder="1" applyAlignment="1">
      <alignment horizontal="left"/>
    </xf>
    <xf numFmtId="0" fontId="22" fillId="22" borderId="17" xfId="0" applyFont="1" applyFill="1" applyBorder="1" applyAlignment="1">
      <alignment horizontal="center"/>
    </xf>
    <xf numFmtId="0" fontId="65" fillId="22" borderId="17" xfId="0" applyFont="1" applyFill="1" applyBorder="1" applyAlignment="1">
      <alignment horizontal="left"/>
    </xf>
    <xf numFmtId="0" fontId="0" fillId="22" borderId="17" xfId="0" applyFont="1" applyFill="1" applyBorder="1" applyAlignment="1">
      <alignment/>
    </xf>
    <xf numFmtId="2" fontId="0" fillId="35" borderId="17" xfId="0" applyNumberFormat="1" applyFont="1" applyFill="1" applyBorder="1" applyAlignment="1">
      <alignment/>
    </xf>
    <xf numFmtId="164" fontId="0" fillId="35" borderId="17" xfId="0" applyNumberFormat="1" applyFont="1" applyFill="1" applyBorder="1" applyAlignment="1">
      <alignment/>
    </xf>
    <xf numFmtId="0" fontId="65" fillId="0" borderId="0" xfId="0" applyFont="1" applyFill="1" applyBorder="1" applyAlignment="1" applyProtection="1">
      <alignment vertical="center"/>
      <protection/>
    </xf>
    <xf numFmtId="3" fontId="67" fillId="40" borderId="17" xfId="0" applyNumberFormat="1" applyFont="1" applyFill="1" applyBorder="1" applyAlignment="1" applyProtection="1">
      <alignment horizontal="right" vertical="center"/>
      <protection/>
    </xf>
    <xf numFmtId="0" fontId="67" fillId="11" borderId="14" xfId="0" applyFont="1" applyFill="1" applyBorder="1" applyAlignment="1" applyProtection="1">
      <alignment vertical="center"/>
      <protection/>
    </xf>
    <xf numFmtId="0" fontId="67" fillId="11" borderId="15" xfId="0" applyFont="1" applyFill="1" applyBorder="1" applyAlignment="1" applyProtection="1">
      <alignment vertical="center"/>
      <protection/>
    </xf>
    <xf numFmtId="0" fontId="67" fillId="11" borderId="16" xfId="0" applyFont="1" applyFill="1" applyBorder="1" applyAlignment="1" applyProtection="1">
      <alignment vertical="center"/>
      <protection/>
    </xf>
    <xf numFmtId="0" fontId="20" fillId="35" borderId="14" xfId="0" applyFont="1" applyFill="1" applyBorder="1" applyAlignment="1">
      <alignment horizontal="left"/>
    </xf>
    <xf numFmtId="0" fontId="20" fillId="35" borderId="15" xfId="0" applyFont="1" applyFill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0" fillId="36" borderId="0" xfId="0" applyFont="1" applyFill="1" applyAlignment="1">
      <alignment vertical="center"/>
    </xf>
    <xf numFmtId="165" fontId="0" fillId="36" borderId="0" xfId="0" applyNumberFormat="1" applyFont="1" applyFill="1" applyAlignment="1">
      <alignment horizontal="right" vertical="center"/>
    </xf>
    <xf numFmtId="1" fontId="83" fillId="36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67" fillId="40" borderId="17" xfId="0" applyNumberFormat="1" applyFont="1" applyFill="1" applyBorder="1" applyAlignment="1" applyProtection="1">
      <alignment horizontal="left" vertical="center" wrapText="1"/>
      <protection/>
    </xf>
    <xf numFmtId="1" fontId="90" fillId="14" borderId="17" xfId="0" applyNumberFormat="1" applyFont="1" applyFill="1" applyBorder="1" applyAlignment="1" applyProtection="1">
      <alignment horizontal="right" vertical="center"/>
      <protection/>
    </xf>
    <xf numFmtId="1" fontId="90" fillId="14" borderId="17" xfId="0" applyNumberFormat="1" applyFont="1" applyFill="1" applyBorder="1" applyAlignment="1" applyProtection="1">
      <alignment vertical="center"/>
      <protection/>
    </xf>
    <xf numFmtId="3" fontId="90" fillId="19" borderId="17" xfId="0" applyNumberFormat="1" applyFont="1" applyFill="1" applyBorder="1" applyAlignment="1" applyProtection="1">
      <alignment/>
      <protection/>
    </xf>
    <xf numFmtId="2" fontId="90" fillId="19" borderId="17" xfId="0" applyNumberFormat="1" applyFont="1" applyFill="1" applyBorder="1" applyAlignment="1" applyProtection="1">
      <alignment horizontal="right" vertical="center"/>
      <protection/>
    </xf>
    <xf numFmtId="167" fontId="90" fillId="19" borderId="17" xfId="0" applyNumberFormat="1" applyFont="1" applyFill="1" applyBorder="1" applyAlignment="1" applyProtection="1">
      <alignment vertical="center"/>
      <protection/>
    </xf>
    <xf numFmtId="0" fontId="20" fillId="35" borderId="14" xfId="0" applyFont="1" applyFill="1" applyBorder="1" applyAlignment="1">
      <alignment/>
    </xf>
    <xf numFmtId="0" fontId="20" fillId="35" borderId="15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20" fillId="35" borderId="16" xfId="0" applyFont="1" applyFill="1" applyBorder="1" applyAlignment="1">
      <alignment horizontal="left"/>
    </xf>
    <xf numFmtId="0" fontId="20" fillId="22" borderId="17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20" fillId="22" borderId="0" xfId="0" applyFont="1" applyFill="1" applyBorder="1" applyAlignment="1">
      <alignment horizontal="right" wrapText="1"/>
    </xf>
    <xf numFmtId="0" fontId="20" fillId="22" borderId="0" xfId="0" applyFont="1" applyFill="1" applyBorder="1" applyAlignment="1">
      <alignment horizontal="center"/>
    </xf>
    <xf numFmtId="0" fontId="67" fillId="22" borderId="30" xfId="0" applyFont="1" applyFill="1" applyBorder="1" applyAlignment="1">
      <alignment horizontal="left" wrapText="1"/>
    </xf>
    <xf numFmtId="0" fontId="67" fillId="36" borderId="0" xfId="0" applyFont="1" applyFill="1" applyBorder="1" applyAlignment="1">
      <alignment horizontal="center" wrapText="1"/>
    </xf>
    <xf numFmtId="0" fontId="82" fillId="36" borderId="0" xfId="0" applyFont="1" applyFill="1" applyBorder="1" applyAlignment="1">
      <alignment horizontal="center" wrapText="1"/>
    </xf>
    <xf numFmtId="0" fontId="0" fillId="36" borderId="0" xfId="0" applyFont="1" applyFill="1" applyAlignment="1">
      <alignment/>
    </xf>
    <xf numFmtId="0" fontId="67" fillId="36" borderId="0" xfId="0" applyFont="1" applyFill="1" applyBorder="1" applyAlignment="1">
      <alignment horizontal="left" wrapText="1"/>
    </xf>
    <xf numFmtId="49" fontId="83" fillId="0" borderId="29" xfId="0" applyNumberFormat="1" applyFont="1" applyBorder="1" applyAlignment="1">
      <alignment vertical="center" wrapText="1"/>
    </xf>
    <xf numFmtId="49" fontId="83" fillId="0" borderId="0" xfId="0" applyNumberFormat="1" applyFont="1" applyBorder="1" applyAlignment="1">
      <alignment vertical="center" wrapText="1"/>
    </xf>
    <xf numFmtId="0" fontId="0" fillId="36" borderId="11" xfId="0" applyFont="1" applyFill="1" applyBorder="1" applyAlignment="1">
      <alignment horizontal="right" vertical="center"/>
    </xf>
    <xf numFmtId="1" fontId="0" fillId="36" borderId="12" xfId="0" applyNumberFormat="1" applyFont="1" applyFill="1" applyBorder="1" applyAlignment="1">
      <alignment horizontal="right" vertical="center"/>
    </xf>
    <xf numFmtId="1" fontId="0" fillId="36" borderId="13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0" fillId="36" borderId="11" xfId="0" applyNumberFormat="1" applyFont="1" applyFill="1" applyBorder="1" applyAlignment="1">
      <alignment horizontal="right" vertical="center"/>
    </xf>
    <xf numFmtId="165" fontId="0" fillId="36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84" fillId="0" borderId="0" xfId="0" applyFont="1" applyAlignment="1">
      <alignment vertical="center" wrapText="1"/>
    </xf>
    <xf numFmtId="0" fontId="106" fillId="0" borderId="0" xfId="0" applyNumberFormat="1" applyFont="1" applyAlignment="1">
      <alignment horizontal="right"/>
    </xf>
    <xf numFmtId="0" fontId="36" fillId="11" borderId="17" xfId="0" applyFont="1" applyFill="1" applyBorder="1" applyAlignment="1" applyProtection="1">
      <alignment vertical="top" wrapText="1"/>
      <protection/>
    </xf>
    <xf numFmtId="0" fontId="106" fillId="0" borderId="0" xfId="0" applyFont="1" applyAlignment="1">
      <alignment vertical="top"/>
    </xf>
    <xf numFmtId="49" fontId="106" fillId="0" borderId="0" xfId="0" applyNumberFormat="1" applyFont="1" applyAlignment="1">
      <alignment horizontal="right" vertical="top"/>
    </xf>
    <xf numFmtId="165" fontId="106" fillId="0" borderId="0" xfId="0" applyNumberFormat="1" applyFont="1" applyAlignment="1">
      <alignment horizontal="right" vertical="top"/>
    </xf>
    <xf numFmtId="165" fontId="106" fillId="0" borderId="0" xfId="0" applyNumberFormat="1" applyFont="1" applyAlignment="1">
      <alignment vertical="top"/>
    </xf>
    <xf numFmtId="0" fontId="83" fillId="0" borderId="29" xfId="0" applyFont="1" applyBorder="1" applyAlignment="1" applyProtection="1">
      <alignment vertical="top"/>
      <protection/>
    </xf>
    <xf numFmtId="2" fontId="106" fillId="0" borderId="0" xfId="0" applyNumberFormat="1" applyFont="1" applyAlignment="1">
      <alignment vertical="top"/>
    </xf>
    <xf numFmtId="170" fontId="106" fillId="0" borderId="0" xfId="0" applyNumberFormat="1" applyFont="1" applyAlignment="1">
      <alignment vertical="top"/>
    </xf>
    <xf numFmtId="165" fontId="0" fillId="0" borderId="17" xfId="0" applyNumberFormat="1" applyFont="1" applyFill="1" applyBorder="1" applyAlignment="1" applyProtection="1">
      <alignment vertical="center"/>
      <protection locked="0"/>
    </xf>
    <xf numFmtId="0" fontId="20" fillId="22" borderId="19" xfId="0" applyFont="1" applyFill="1" applyBorder="1" applyAlignment="1">
      <alignment horizontal="center" vertical="center"/>
    </xf>
    <xf numFmtId="0" fontId="67" fillId="37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 applyProtection="1">
      <alignment horizontal="left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30" fillId="22" borderId="0" xfId="0" applyFont="1" applyFill="1" applyBorder="1" applyAlignment="1">
      <alignment vertical="top" wrapText="1"/>
    </xf>
    <xf numFmtId="0" fontId="67" fillId="5" borderId="17" xfId="0" applyFont="1" applyFill="1" applyBorder="1" applyAlignment="1" applyProtection="1">
      <alignment/>
      <protection/>
    </xf>
    <xf numFmtId="0" fontId="89" fillId="0" borderId="17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67" fillId="22" borderId="17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88" fillId="0" borderId="11" xfId="0" applyFont="1" applyFill="1" applyBorder="1" applyAlignment="1">
      <alignment horizontal="left"/>
    </xf>
    <xf numFmtId="0" fontId="88" fillId="0" borderId="12" xfId="0" applyFont="1" applyFill="1" applyBorder="1" applyAlignment="1">
      <alignment horizontal="left"/>
    </xf>
    <xf numFmtId="0" fontId="88" fillId="0" borderId="13" xfId="0" applyFont="1" applyFill="1" applyBorder="1" applyAlignment="1">
      <alignment horizontal="left"/>
    </xf>
    <xf numFmtId="0" fontId="67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85" fillId="0" borderId="0" xfId="0" applyFont="1" applyBorder="1" applyAlignment="1">
      <alignment horizontal="left" vertical="center"/>
    </xf>
    <xf numFmtId="0" fontId="67" fillId="16" borderId="14" xfId="0" applyFont="1" applyFill="1" applyBorder="1" applyAlignment="1">
      <alignment horizontal="center" vertical="center"/>
    </xf>
    <xf numFmtId="0" fontId="67" fillId="16" borderId="16" xfId="0" applyFont="1" applyFill="1" applyBorder="1" applyAlignment="1">
      <alignment horizontal="center" vertical="center"/>
    </xf>
    <xf numFmtId="0" fontId="67" fillId="0" borderId="11" xfId="0" applyFont="1" applyBorder="1" applyAlignment="1" applyProtection="1">
      <alignment horizontal="left" vertical="center"/>
      <protection locked="0"/>
    </xf>
    <xf numFmtId="0" fontId="67" fillId="0" borderId="12" xfId="0" applyFont="1" applyBorder="1" applyAlignment="1" applyProtection="1">
      <alignment horizontal="left" vertical="center"/>
      <protection locked="0"/>
    </xf>
    <xf numFmtId="0" fontId="67" fillId="0" borderId="13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49" fontId="83" fillId="22" borderId="17" xfId="0" applyNumberFormat="1" applyFont="1" applyFill="1" applyBorder="1" applyAlignment="1" applyProtection="1">
      <alignment horizontal="left" vertical="center" wrapText="1"/>
      <protection/>
    </xf>
    <xf numFmtId="0" fontId="90" fillId="0" borderId="0" xfId="0" applyFont="1" applyBorder="1" applyAlignment="1" applyProtection="1">
      <alignment horizontal="right" vertical="center"/>
      <protection/>
    </xf>
    <xf numFmtId="0" fontId="90" fillId="0" borderId="31" xfId="0" applyFont="1" applyBorder="1" applyAlignment="1" applyProtection="1">
      <alignment horizontal="right" vertical="center"/>
      <protection/>
    </xf>
    <xf numFmtId="49" fontId="83" fillId="0" borderId="29" xfId="0" applyNumberFormat="1" applyFont="1" applyBorder="1" applyAlignment="1">
      <alignment horizontal="left" vertical="center" wrapText="1"/>
    </xf>
    <xf numFmtId="49" fontId="83" fillId="0" borderId="0" xfId="0" applyNumberFormat="1" applyFont="1" applyBorder="1" applyAlignment="1">
      <alignment horizontal="left" vertical="center" wrapText="1"/>
    </xf>
    <xf numFmtId="49" fontId="83" fillId="0" borderId="18" xfId="0" applyNumberFormat="1" applyFont="1" applyBorder="1" applyAlignment="1">
      <alignment horizontal="center" wrapText="1"/>
    </xf>
    <xf numFmtId="3" fontId="67" fillId="0" borderId="0" xfId="0" applyNumberFormat="1" applyFont="1" applyFill="1" applyBorder="1" applyAlignment="1" applyProtection="1">
      <alignment horizontal="right" vertical="center"/>
      <protection/>
    </xf>
    <xf numFmtId="0" fontId="20" fillId="16" borderId="19" xfId="0" applyFont="1" applyFill="1" applyBorder="1" applyAlignment="1" applyProtection="1">
      <alignment horizontal="left" vertical="center" wrapText="1"/>
      <protection/>
    </xf>
    <xf numFmtId="0" fontId="20" fillId="16" borderId="20" xfId="0" applyFont="1" applyFill="1" applyBorder="1" applyAlignment="1" applyProtection="1">
      <alignment horizontal="left" vertical="center" wrapText="1"/>
      <protection/>
    </xf>
    <xf numFmtId="2" fontId="93" fillId="0" borderId="17" xfId="0" applyNumberFormat="1" applyFont="1" applyBorder="1" applyAlignment="1">
      <alignment horizontal="right" vertical="center"/>
    </xf>
    <xf numFmtId="3" fontId="67" fillId="0" borderId="14" xfId="0" applyNumberFormat="1" applyFont="1" applyFill="1" applyBorder="1" applyAlignment="1">
      <alignment horizontal="center" vertical="center"/>
    </xf>
    <xf numFmtId="3" fontId="67" fillId="0" borderId="15" xfId="0" applyNumberFormat="1" applyFont="1" applyFill="1" applyBorder="1" applyAlignment="1">
      <alignment horizontal="center" vertical="center"/>
    </xf>
    <xf numFmtId="3" fontId="67" fillId="0" borderId="16" xfId="0" applyNumberFormat="1" applyFont="1" applyFill="1" applyBorder="1" applyAlignment="1">
      <alignment horizontal="center" vertical="center"/>
    </xf>
    <xf numFmtId="0" fontId="83" fillId="0" borderId="29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 wrapText="1"/>
    </xf>
    <xf numFmtId="2" fontId="108" fillId="22" borderId="29" xfId="0" applyNumberFormat="1" applyFont="1" applyFill="1" applyBorder="1" applyAlignment="1" applyProtection="1">
      <alignment horizontal="left" vertical="center"/>
      <protection/>
    </xf>
    <xf numFmtId="2" fontId="108" fillId="22" borderId="0" xfId="0" applyNumberFormat="1" applyFont="1" applyFill="1" applyBorder="1" applyAlignment="1" applyProtection="1">
      <alignment horizontal="left" vertical="center"/>
      <protection/>
    </xf>
    <xf numFmtId="3" fontId="21" fillId="0" borderId="18" xfId="0" applyNumberFormat="1" applyFont="1" applyFill="1" applyBorder="1" applyAlignment="1" applyProtection="1">
      <alignment horizontal="center"/>
      <protection/>
    </xf>
    <xf numFmtId="0" fontId="67" fillId="16" borderId="14" xfId="0" applyFont="1" applyFill="1" applyBorder="1" applyAlignment="1" applyProtection="1">
      <alignment horizontal="center" vertical="center"/>
      <protection/>
    </xf>
    <xf numFmtId="0" fontId="67" fillId="16" borderId="15" xfId="0" applyFont="1" applyFill="1" applyBorder="1" applyAlignment="1" applyProtection="1">
      <alignment horizontal="center" vertical="center"/>
      <protection/>
    </xf>
    <xf numFmtId="0" fontId="67" fillId="16" borderId="16" xfId="0" applyFont="1" applyFill="1" applyBorder="1" applyAlignment="1" applyProtection="1">
      <alignment horizontal="center" vertical="center"/>
      <protection/>
    </xf>
    <xf numFmtId="166" fontId="67" fillId="10" borderId="14" xfId="0" applyNumberFormat="1" applyFont="1" applyFill="1" applyBorder="1" applyAlignment="1" applyProtection="1">
      <alignment horizontal="center" vertical="center"/>
      <protection/>
    </xf>
    <xf numFmtId="166" fontId="67" fillId="10" borderId="15" xfId="0" applyNumberFormat="1" applyFont="1" applyFill="1" applyBorder="1" applyAlignment="1" applyProtection="1">
      <alignment horizontal="center" vertical="center"/>
      <protection/>
    </xf>
    <xf numFmtId="166" fontId="67" fillId="10" borderId="16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>
      <alignment horizontal="left" vertical="center"/>
    </xf>
    <xf numFmtId="0" fontId="67" fillId="22" borderId="14" xfId="0" applyFont="1" applyFill="1" applyBorder="1" applyAlignment="1">
      <alignment horizontal="center" vertical="center"/>
    </xf>
    <xf numFmtId="0" fontId="67" fillId="22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83" fillId="0" borderId="29" xfId="0" applyFont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30" fillId="22" borderId="0" xfId="0" applyFont="1" applyFill="1" applyBorder="1" applyAlignment="1">
      <alignment horizontal="left" vertical="top" wrapText="1"/>
    </xf>
    <xf numFmtId="49" fontId="83" fillId="0" borderId="32" xfId="0" applyNumberFormat="1" applyFont="1" applyFill="1" applyBorder="1" applyAlignment="1" applyProtection="1">
      <alignment horizontal="right" vertical="top" wrapText="1"/>
      <protection/>
    </xf>
    <xf numFmtId="49" fontId="83" fillId="0" borderId="0" xfId="0" applyNumberFormat="1" applyFont="1" applyFill="1" applyBorder="1" applyAlignment="1" applyProtection="1">
      <alignment horizontal="right" vertical="center" wrapText="1"/>
      <protection/>
    </xf>
    <xf numFmtId="49" fontId="83" fillId="0" borderId="0" xfId="0" applyNumberFormat="1" applyFont="1" applyFill="1" applyBorder="1" applyAlignment="1" applyProtection="1">
      <alignment horizontal="right" wrapText="1"/>
      <protection/>
    </xf>
    <xf numFmtId="165" fontId="22" fillId="0" borderId="14" xfId="0" applyNumberFormat="1" applyFont="1" applyFill="1" applyBorder="1" applyAlignment="1" applyProtection="1">
      <alignment horizontal="center"/>
      <protection locked="0"/>
    </xf>
    <xf numFmtId="165" fontId="22" fillId="0" borderId="15" xfId="0" applyNumberFormat="1" applyFont="1" applyFill="1" applyBorder="1" applyAlignment="1" applyProtection="1">
      <alignment horizontal="center"/>
      <protection locked="0"/>
    </xf>
    <xf numFmtId="165" fontId="22" fillId="0" borderId="16" xfId="0" applyNumberFormat="1" applyFont="1" applyFill="1" applyBorder="1" applyAlignment="1" applyProtection="1">
      <alignment horizontal="center"/>
      <protection locked="0"/>
    </xf>
    <xf numFmtId="0" fontId="20" fillId="35" borderId="15" xfId="0" applyFont="1" applyFill="1" applyBorder="1" applyAlignment="1">
      <alignment horizontal="center"/>
    </xf>
    <xf numFmtId="0" fontId="101" fillId="0" borderId="0" xfId="0" applyFont="1" applyAlignment="1">
      <alignment horizontal="left" vertical="top" wrapText="1"/>
    </xf>
    <xf numFmtId="0" fontId="20" fillId="22" borderId="30" xfId="0" applyFont="1" applyFill="1" applyBorder="1" applyAlignment="1">
      <alignment horizontal="left" vertical="center" wrapText="1"/>
    </xf>
    <xf numFmtId="0" fontId="20" fillId="22" borderId="17" xfId="0" applyFont="1" applyFill="1" applyBorder="1" applyAlignment="1">
      <alignment horizontal="center" vertical="center" wrapText="1"/>
    </xf>
    <xf numFmtId="0" fontId="90" fillId="36" borderId="33" xfId="0" applyFont="1" applyFill="1" applyBorder="1" applyAlignment="1">
      <alignment horizontal="center" vertical="center" wrapText="1"/>
    </xf>
    <xf numFmtId="0" fontId="90" fillId="36" borderId="34" xfId="0" applyFont="1" applyFill="1" applyBorder="1" applyAlignment="1">
      <alignment horizontal="center" vertical="center" wrapText="1"/>
    </xf>
    <xf numFmtId="0" fontId="90" fillId="36" borderId="35" xfId="0" applyFont="1" applyFill="1" applyBorder="1" applyAlignment="1">
      <alignment horizontal="center" vertical="center" wrapText="1"/>
    </xf>
    <xf numFmtId="0" fontId="90" fillId="36" borderId="36" xfId="0" applyFont="1" applyFill="1" applyBorder="1" applyAlignment="1">
      <alignment horizontal="center" vertical="center" wrapText="1"/>
    </xf>
    <xf numFmtId="0" fontId="90" fillId="36" borderId="0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0" fillId="36" borderId="37" xfId="0" applyFont="1" applyFill="1" applyBorder="1" applyAlignment="1">
      <alignment horizontal="center" vertical="center" wrapText="1"/>
    </xf>
    <xf numFmtId="0" fontId="90" fillId="36" borderId="38" xfId="0" applyFont="1" applyFill="1" applyBorder="1" applyAlignment="1">
      <alignment horizontal="center" vertical="center" wrapText="1"/>
    </xf>
    <xf numFmtId="0" fontId="90" fillId="36" borderId="39" xfId="0" applyFont="1" applyFill="1" applyBorder="1" applyAlignment="1">
      <alignment horizontal="center" vertical="center" wrapText="1"/>
    </xf>
    <xf numFmtId="0" fontId="67" fillId="22" borderId="29" xfId="0" applyFont="1" applyFill="1" applyBorder="1" applyAlignment="1">
      <alignment horizontal="center" vertical="center" wrapText="1"/>
    </xf>
    <xf numFmtId="0" fontId="67" fillId="22" borderId="0" xfId="0" applyFont="1" applyFill="1" applyBorder="1" applyAlignment="1">
      <alignment horizontal="center" vertical="center" wrapText="1"/>
    </xf>
    <xf numFmtId="0" fontId="67" fillId="22" borderId="30" xfId="0" applyFont="1" applyFill="1" applyBorder="1" applyAlignment="1">
      <alignment horizontal="center" vertical="center" wrapText="1"/>
    </xf>
    <xf numFmtId="165" fontId="20" fillId="35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83" fillId="0" borderId="0" xfId="0" applyFont="1" applyAlignment="1">
      <alignment horizontal="left" vertical="top" wrapText="1"/>
    </xf>
    <xf numFmtId="0" fontId="67" fillId="37" borderId="40" xfId="0" applyFont="1" applyFill="1" applyBorder="1" applyAlignment="1">
      <alignment horizontal="center" vertical="center" wrapText="1"/>
    </xf>
    <xf numFmtId="0" fontId="67" fillId="37" borderId="18" xfId="0" applyFont="1" applyFill="1" applyBorder="1" applyAlignment="1">
      <alignment horizontal="center" vertical="center" wrapText="1"/>
    </xf>
    <xf numFmtId="165" fontId="90" fillId="37" borderId="14" xfId="0" applyNumberFormat="1" applyFont="1" applyFill="1" applyBorder="1" applyAlignment="1">
      <alignment horizontal="center"/>
    </xf>
    <xf numFmtId="165" fontId="90" fillId="37" borderId="15" xfId="0" applyNumberFormat="1" applyFont="1" applyFill="1" applyBorder="1" applyAlignment="1">
      <alignment horizontal="center"/>
    </xf>
    <xf numFmtId="165" fontId="90" fillId="37" borderId="16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90"/>
  <sheetViews>
    <sheetView showGridLines="0" showZeros="0" tabSelected="1" zoomScale="70" zoomScaleNormal="70" zoomScalePageLayoutView="0" workbookViewId="0" topLeftCell="A1">
      <pane ySplit="6" topLeftCell="A19" activePane="bottomLeft" state="frozen"/>
      <selection pane="topLeft" activeCell="A1" sqref="A1"/>
      <selection pane="bottomLeft" activeCell="B7" sqref="B7"/>
    </sheetView>
  </sheetViews>
  <sheetFormatPr defaultColWidth="5.7109375" defaultRowHeight="15"/>
  <cols>
    <col min="1" max="1" width="53.140625" style="0" customWidth="1"/>
    <col min="2" max="2" width="10.140625" style="0" customWidth="1"/>
    <col min="3" max="3" width="10.140625" style="1" customWidth="1"/>
    <col min="4" max="4" width="11.140625" style="2" customWidth="1"/>
    <col min="5" max="6" width="10.421875" style="0" customWidth="1"/>
    <col min="7" max="7" width="1.7109375" style="0" customWidth="1"/>
    <col min="8" max="8" width="66.00390625" style="0" customWidth="1"/>
    <col min="9" max="9" width="19.140625" style="0" customWidth="1"/>
    <col min="10" max="10" width="18.7109375" style="0" customWidth="1"/>
    <col min="11" max="11" width="15.28125" style="0" customWidth="1"/>
    <col min="12" max="12" width="0.71875" style="0" customWidth="1"/>
    <col min="13" max="15" width="14.28125" style="0" customWidth="1"/>
    <col min="16" max="16" width="18.140625" style="0" customWidth="1"/>
    <col min="17" max="17" width="9.7109375" style="0" hidden="1" customWidth="1"/>
    <col min="18" max="18" width="13.7109375" style="3" hidden="1" customWidth="1"/>
    <col min="19" max="19" width="12.421875" style="0" hidden="1" customWidth="1"/>
    <col min="20" max="20" width="4.8515625" style="0" hidden="1" customWidth="1"/>
    <col min="21" max="21" width="14.421875" style="0" hidden="1" customWidth="1"/>
    <col min="22" max="22" width="13.28125" style="0" hidden="1" customWidth="1"/>
    <col min="23" max="23" width="8.8515625" style="0" hidden="1" customWidth="1"/>
    <col min="24" max="25" width="11.140625" style="0" hidden="1" customWidth="1"/>
    <col min="26" max="34" width="8.421875" style="0" hidden="1" customWidth="1"/>
    <col min="35" max="35" width="9.7109375" style="0" hidden="1" customWidth="1"/>
    <col min="36" max="36" width="8.57421875" style="0" hidden="1" customWidth="1"/>
    <col min="37" max="39" width="12.28125" style="0" hidden="1" customWidth="1"/>
    <col min="40" max="43" width="5.7109375" style="0" hidden="1" customWidth="1"/>
    <col min="44" max="44" width="9.140625" style="0" hidden="1" customWidth="1"/>
    <col min="45" max="45" width="17.57421875" style="0" hidden="1" customWidth="1"/>
    <col min="46" max="46" width="18.8515625" style="0" hidden="1" customWidth="1"/>
    <col min="47" max="47" width="20.140625" style="0" hidden="1" customWidth="1"/>
    <col min="48" max="48" width="5.7109375" style="0" hidden="1" customWidth="1"/>
    <col min="49" max="49" width="6.421875" style="0" hidden="1" customWidth="1"/>
    <col min="50" max="51" width="5.7109375" style="0" hidden="1" customWidth="1"/>
    <col min="52" max="52" width="10.421875" style="0" hidden="1" customWidth="1"/>
    <col min="53" max="53" width="11.140625" style="0" hidden="1" customWidth="1"/>
    <col min="54" max="54" width="10.421875" style="0" hidden="1" customWidth="1"/>
    <col min="55" max="55" width="7.00390625" style="4" hidden="1" customWidth="1"/>
    <col min="56" max="56" width="8.421875" style="4" hidden="1" customWidth="1"/>
    <col min="57" max="57" width="8.140625" style="4" hidden="1" customWidth="1"/>
    <col min="58" max="58" width="9.28125" style="4" hidden="1" customWidth="1"/>
    <col min="59" max="59" width="12.140625" style="5" hidden="1" customWidth="1"/>
    <col min="60" max="60" width="11.140625" style="5" hidden="1" customWidth="1"/>
    <col min="61" max="61" width="10.421875" style="5" hidden="1" customWidth="1"/>
    <col min="62" max="62" width="8.57421875" style="6" hidden="1" customWidth="1"/>
    <col min="63" max="63" width="11.00390625" style="5" hidden="1" customWidth="1"/>
    <col min="64" max="64" width="11.57421875" style="5" hidden="1" customWidth="1"/>
    <col min="65" max="65" width="9.00390625" style="6" hidden="1" customWidth="1"/>
    <col min="66" max="66" width="9.28125" style="6" hidden="1" customWidth="1"/>
    <col min="67" max="67" width="9.140625" style="6" hidden="1" customWidth="1"/>
    <col min="68" max="68" width="7.421875" style="6" hidden="1" customWidth="1"/>
    <col min="69" max="69" width="8.28125" style="5" hidden="1" customWidth="1"/>
    <col min="70" max="70" width="9.140625" style="5" hidden="1" customWidth="1"/>
    <col min="71" max="71" width="8.8515625" style="5" hidden="1" customWidth="1"/>
    <col min="72" max="72" width="10.00390625" style="5" hidden="1" customWidth="1"/>
    <col min="73" max="73" width="11.7109375" style="5" hidden="1" customWidth="1"/>
    <col min="74" max="79" width="5.7109375" style="0" hidden="1" customWidth="1"/>
    <col min="80" max="80" width="12.421875" style="0" hidden="1" customWidth="1"/>
    <col min="81" max="82" width="12.00390625" style="0" hidden="1" customWidth="1"/>
    <col min="83" max="85" width="9.7109375" style="0" hidden="1" customWidth="1"/>
    <col min="86" max="89" width="5.7109375" style="0" hidden="1" customWidth="1"/>
    <col min="90" max="90" width="10.7109375" style="0" hidden="1" customWidth="1"/>
    <col min="91" max="91" width="5.7109375" style="0" hidden="1" customWidth="1"/>
    <col min="92" max="93" width="11.140625" style="0" hidden="1" customWidth="1"/>
    <col min="94" max="94" width="9.140625" style="0" hidden="1" customWidth="1"/>
    <col min="95" max="95" width="9.7109375" style="0" hidden="1" customWidth="1"/>
    <col min="96" max="96" width="13.00390625" style="0" hidden="1" customWidth="1"/>
    <col min="97" max="99" width="5.7109375" style="0" hidden="1" customWidth="1"/>
    <col min="100" max="100" width="10.7109375" style="0" hidden="1" customWidth="1"/>
    <col min="101" max="104" width="5.7109375" style="0" hidden="1" customWidth="1"/>
    <col min="105" max="126" width="5.7109375" style="0" customWidth="1"/>
  </cols>
  <sheetData>
    <row r="1" ht="1.5" customHeight="1" thickBot="1"/>
    <row r="2" spans="1:73" s="8" customFormat="1" ht="15.75" customHeight="1" thickBot="1">
      <c r="A2" s="363" t="s">
        <v>0</v>
      </c>
      <c r="B2" s="543" t="s">
        <v>226</v>
      </c>
      <c r="C2" s="544"/>
      <c r="D2" s="536"/>
      <c r="E2" s="537"/>
      <c r="F2" s="537"/>
      <c r="G2" s="537"/>
      <c r="H2" s="537"/>
      <c r="I2" s="537"/>
      <c r="J2" s="537"/>
      <c r="K2" s="537"/>
      <c r="L2" s="537"/>
      <c r="M2" s="537"/>
      <c r="N2" s="538"/>
      <c r="O2" s="7"/>
      <c r="P2" s="7"/>
      <c r="R2" s="9"/>
      <c r="V2" s="376"/>
      <c r="AW2" s="9"/>
      <c r="AX2" s="10" t="s">
        <v>1</v>
      </c>
      <c r="AY2" s="11"/>
      <c r="BB2" s="12" t="s">
        <v>1</v>
      </c>
      <c r="BC2" s="539" t="s">
        <v>2</v>
      </c>
      <c r="BD2" s="540"/>
      <c r="BE2" s="540"/>
      <c r="BF2" s="540"/>
      <c r="BG2" s="541"/>
      <c r="BH2" s="528" t="s">
        <v>3</v>
      </c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30"/>
    </row>
    <row r="3" spans="1:73" s="1" customFormat="1" ht="1.5" customHeight="1" thickBot="1">
      <c r="A3" s="13"/>
      <c r="B3" s="13"/>
      <c r="C3" s="13"/>
      <c r="D3" s="14"/>
      <c r="E3" s="13"/>
      <c r="F3" s="13"/>
      <c r="G3" s="13"/>
      <c r="H3" s="13"/>
      <c r="I3" s="15"/>
      <c r="J3" s="16"/>
      <c r="K3" s="16"/>
      <c r="L3" s="16"/>
      <c r="M3" s="16"/>
      <c r="R3" s="2"/>
      <c r="V3" s="13"/>
      <c r="AP3" s="17"/>
      <c r="AV3" s="17"/>
      <c r="AW3" s="18"/>
      <c r="AX3" s="18"/>
      <c r="AY3" s="18"/>
      <c r="BC3" s="19"/>
      <c r="BD3" s="19"/>
      <c r="BE3" s="19"/>
      <c r="BF3" s="19"/>
      <c r="BG3" s="20"/>
      <c r="BH3" s="21"/>
      <c r="BI3" s="21"/>
      <c r="BJ3" s="22"/>
      <c r="BK3" s="21"/>
      <c r="BL3" s="21"/>
      <c r="BM3" s="22"/>
      <c r="BN3" s="22"/>
      <c r="BO3" s="22"/>
      <c r="BP3" s="22"/>
      <c r="BQ3" s="21"/>
      <c r="BR3" s="21"/>
      <c r="BS3" s="21"/>
      <c r="BT3" s="21"/>
      <c r="BU3" s="21"/>
    </row>
    <row r="4" spans="1:93" s="1" customFormat="1" ht="16.5" customHeight="1" thickBot="1">
      <c r="A4" s="362" t="s">
        <v>317</v>
      </c>
      <c r="B4" s="23">
        <v>2017</v>
      </c>
      <c r="C4" s="364"/>
      <c r="D4" s="364"/>
      <c r="E4" s="364"/>
      <c r="F4" s="364"/>
      <c r="G4" s="364"/>
      <c r="H4" s="24" t="s">
        <v>318</v>
      </c>
      <c r="I4" s="25">
        <f>IF(B4&lt;1000,B4,B4-1)</f>
        <v>2016</v>
      </c>
      <c r="J4" s="26" t="s">
        <v>4</v>
      </c>
      <c r="K4" s="27">
        <f>B4</f>
        <v>2017</v>
      </c>
      <c r="L4" s="417"/>
      <c r="M4" s="417"/>
      <c r="R4" s="2"/>
      <c r="V4" s="367"/>
      <c r="AP4" s="28" t="s">
        <v>5</v>
      </c>
      <c r="AR4" s="29"/>
      <c r="AS4" s="29"/>
      <c r="AT4" s="29"/>
      <c r="AU4" s="29"/>
      <c r="AV4" s="29"/>
      <c r="AW4" s="29"/>
      <c r="AX4" s="29"/>
      <c r="AY4" s="29"/>
      <c r="AZ4" s="30"/>
      <c r="BA4" s="30"/>
      <c r="BB4" s="30"/>
      <c r="BC4" s="31"/>
      <c r="BD4" s="31"/>
      <c r="BE4" s="31"/>
      <c r="BF4" s="31"/>
      <c r="BG4" s="32"/>
      <c r="BH4" s="33"/>
      <c r="BI4" s="34"/>
      <c r="BJ4" s="35"/>
      <c r="BK4" s="34"/>
      <c r="BL4" s="34"/>
      <c r="BM4" s="35">
        <f>(60*0.3*0.15*0.3269+0.5*0.4023)/60</f>
        <v>0.018063</v>
      </c>
      <c r="BN4" s="35"/>
      <c r="BO4" s="35"/>
      <c r="BP4" s="35"/>
      <c r="BQ4" s="34"/>
      <c r="BR4" s="34"/>
      <c r="BS4" s="34"/>
      <c r="BT4" s="34"/>
      <c r="BU4" s="34"/>
      <c r="BV4" s="524" t="s">
        <v>6</v>
      </c>
      <c r="BW4" s="524"/>
      <c r="BX4" s="524"/>
      <c r="BY4" s="524" t="s">
        <v>7</v>
      </c>
      <c r="BZ4" s="524"/>
      <c r="CA4" s="524"/>
      <c r="CB4" s="524" t="s">
        <v>8</v>
      </c>
      <c r="CC4" s="524"/>
      <c r="CD4" s="524"/>
      <c r="CE4" s="524" t="s">
        <v>9</v>
      </c>
      <c r="CF4" s="524"/>
      <c r="CG4" s="524"/>
      <c r="CK4" s="531" t="s">
        <v>10</v>
      </c>
      <c r="CL4" s="532"/>
      <c r="CM4" s="36"/>
      <c r="CN4" s="36"/>
      <c r="CO4" s="36"/>
    </row>
    <row r="5" spans="1:93" ht="13.5" customHeight="1">
      <c r="A5" s="37"/>
      <c r="B5" s="15"/>
      <c r="C5" s="534" t="s">
        <v>11</v>
      </c>
      <c r="D5" s="535"/>
      <c r="E5" s="525" t="s">
        <v>12</v>
      </c>
      <c r="F5" s="525"/>
      <c r="G5" s="38"/>
      <c r="H5" s="37"/>
      <c r="I5" s="39"/>
      <c r="J5" s="40"/>
      <c r="K5" s="40"/>
      <c r="L5" s="40"/>
      <c r="M5" s="40"/>
      <c r="N5" s="41"/>
      <c r="O5" s="41"/>
      <c r="P5" s="41"/>
      <c r="Q5" s="41"/>
      <c r="V5" s="15"/>
      <c r="AP5" s="42"/>
      <c r="AR5" s="28" t="s">
        <v>13</v>
      </c>
      <c r="AS5" s="30"/>
      <c r="AT5" s="526" t="s">
        <v>14</v>
      </c>
      <c r="AU5" s="527"/>
      <c r="AV5" s="527"/>
      <c r="AW5" s="527"/>
      <c r="AX5" s="527"/>
      <c r="AY5" s="527"/>
      <c r="AZ5" s="527"/>
      <c r="BA5" s="43"/>
      <c r="BB5" s="43"/>
      <c r="BC5" s="44"/>
      <c r="BD5" s="44"/>
      <c r="BE5" s="44"/>
      <c r="BF5" s="44"/>
      <c r="BG5" s="45"/>
      <c r="BH5" s="46"/>
      <c r="BI5" s="46"/>
      <c r="BJ5" s="47"/>
      <c r="BK5" s="46"/>
      <c r="BL5" s="46"/>
      <c r="BM5" s="47"/>
      <c r="BN5" s="523" t="s">
        <v>15</v>
      </c>
      <c r="BO5" s="523"/>
      <c r="BP5" s="523"/>
      <c r="BQ5" s="46"/>
      <c r="BR5" s="46"/>
      <c r="BS5" s="46"/>
      <c r="BT5" s="46"/>
      <c r="BU5" s="46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K5" s="48"/>
      <c r="CL5" s="48"/>
      <c r="CM5" s="49"/>
      <c r="CN5" s="49"/>
      <c r="CO5" s="49"/>
    </row>
    <row r="6" spans="1:99" s="1" customFormat="1" ht="35.25" customHeight="1">
      <c r="A6" s="50" t="s">
        <v>184</v>
      </c>
      <c r="B6" s="51" t="s">
        <v>185</v>
      </c>
      <c r="C6" s="51" t="s">
        <v>186</v>
      </c>
      <c r="D6" s="52" t="s">
        <v>170</v>
      </c>
      <c r="E6" s="390" t="s">
        <v>182</v>
      </c>
      <c r="F6" s="53" t="s">
        <v>16</v>
      </c>
      <c r="G6" s="54"/>
      <c r="H6" s="470" t="s">
        <v>229</v>
      </c>
      <c r="I6" s="397" t="s">
        <v>183</v>
      </c>
      <c r="J6" s="379" t="s">
        <v>176</v>
      </c>
      <c r="K6" s="542" t="s">
        <v>297</v>
      </c>
      <c r="L6" s="542"/>
      <c r="M6" s="542"/>
      <c r="N6" s="542"/>
      <c r="V6" s="51" t="s">
        <v>175</v>
      </c>
      <c r="Z6" s="55" t="s">
        <v>17</v>
      </c>
      <c r="AA6" s="55" t="s">
        <v>18</v>
      </c>
      <c r="AB6" s="56" t="s">
        <v>19</v>
      </c>
      <c r="AC6" s="57" t="s">
        <v>20</v>
      </c>
      <c r="AD6" s="58" t="s">
        <v>21</v>
      </c>
      <c r="AE6" s="59" t="s">
        <v>22</v>
      </c>
      <c r="AF6" s="55" t="s">
        <v>23</v>
      </c>
      <c r="AG6" s="55" t="s">
        <v>24</v>
      </c>
      <c r="AH6" s="55" t="s">
        <v>25</v>
      </c>
      <c r="AI6" s="60" t="s">
        <v>26</v>
      </c>
      <c r="AJ6" s="61" t="s">
        <v>27</v>
      </c>
      <c r="AK6" s="55" t="s">
        <v>28</v>
      </c>
      <c r="AL6" s="55" t="s">
        <v>29</v>
      </c>
      <c r="AM6" s="55" t="s">
        <v>30</v>
      </c>
      <c r="AP6" s="56" t="s">
        <v>31</v>
      </c>
      <c r="AR6" s="62" t="s">
        <v>32</v>
      </c>
      <c r="AS6" s="62" t="s">
        <v>33</v>
      </c>
      <c r="AT6" s="62" t="s">
        <v>34</v>
      </c>
      <c r="AU6" s="62" t="s">
        <v>35</v>
      </c>
      <c r="AV6" s="63" t="s">
        <v>36</v>
      </c>
      <c r="AW6" s="64" t="s">
        <v>37</v>
      </c>
      <c r="AX6" s="65" t="s">
        <v>38</v>
      </c>
      <c r="AY6" s="65"/>
      <c r="AZ6" s="62" t="s">
        <v>39</v>
      </c>
      <c r="BA6" s="62" t="s">
        <v>40</v>
      </c>
      <c r="BB6" s="66" t="s">
        <v>41</v>
      </c>
      <c r="BC6" s="67" t="s">
        <v>42</v>
      </c>
      <c r="BD6" s="67" t="s">
        <v>43</v>
      </c>
      <c r="BE6" s="67" t="s">
        <v>44</v>
      </c>
      <c r="BF6" s="67" t="s">
        <v>45</v>
      </c>
      <c r="BG6" s="67" t="s">
        <v>46</v>
      </c>
      <c r="BH6" s="68" t="s">
        <v>47</v>
      </c>
      <c r="BI6" s="68" t="s">
        <v>48</v>
      </c>
      <c r="BJ6" s="69" t="s">
        <v>49</v>
      </c>
      <c r="BK6" s="70" t="s">
        <v>50</v>
      </c>
      <c r="BL6" s="70" t="s">
        <v>51</v>
      </c>
      <c r="BM6" s="71" t="s">
        <v>52</v>
      </c>
      <c r="BN6" s="70" t="s">
        <v>53</v>
      </c>
      <c r="BO6" s="70" t="s">
        <v>54</v>
      </c>
      <c r="BP6" s="71" t="s">
        <v>55</v>
      </c>
      <c r="BQ6" s="72" t="s">
        <v>56</v>
      </c>
      <c r="BR6" s="70" t="s">
        <v>57</v>
      </c>
      <c r="BS6" s="70" t="s">
        <v>58</v>
      </c>
      <c r="BT6" s="70" t="s">
        <v>59</v>
      </c>
      <c r="BU6" s="73" t="s">
        <v>60</v>
      </c>
      <c r="BV6" s="55" t="s">
        <v>23</v>
      </c>
      <c r="BW6" s="55" t="s">
        <v>24</v>
      </c>
      <c r="BX6" s="55" t="s">
        <v>25</v>
      </c>
      <c r="BY6" s="55" t="s">
        <v>23</v>
      </c>
      <c r="BZ6" s="55" t="s">
        <v>24</v>
      </c>
      <c r="CA6" s="55" t="s">
        <v>25</v>
      </c>
      <c r="CB6" s="66" t="s">
        <v>28</v>
      </c>
      <c r="CC6" s="66" t="s">
        <v>61</v>
      </c>
      <c r="CD6" s="66" t="s">
        <v>62</v>
      </c>
      <c r="CE6" s="66" t="s">
        <v>63</v>
      </c>
      <c r="CF6" s="66" t="s">
        <v>64</v>
      </c>
      <c r="CG6" s="66" t="s">
        <v>65</v>
      </c>
      <c r="CH6" s="55" t="s">
        <v>66</v>
      </c>
      <c r="CI6" s="55" t="s">
        <v>67</v>
      </c>
      <c r="CJ6" s="55" t="s">
        <v>68</v>
      </c>
      <c r="CK6" s="74" t="s">
        <v>69</v>
      </c>
      <c r="CL6" s="74" t="s">
        <v>70</v>
      </c>
      <c r="CM6" s="75"/>
      <c r="CN6" s="75"/>
      <c r="CO6" s="75"/>
      <c r="CP6" s="76"/>
      <c r="CQ6" s="76"/>
      <c r="CU6" s="1">
        <f>(4.27+4.27)/2</f>
        <v>4.27</v>
      </c>
    </row>
    <row r="7" spans="1:102" s="85" customFormat="1" ht="18" customHeight="1">
      <c r="A7" s="421" t="s">
        <v>71</v>
      </c>
      <c r="B7" s="77"/>
      <c r="C7" s="365"/>
      <c r="D7" s="357">
        <v>5.766427353449655</v>
      </c>
      <c r="E7" s="78"/>
      <c r="F7" s="79">
        <f aca="true" t="shared" si="0" ref="F7:F31">B7-E7</f>
        <v>0</v>
      </c>
      <c r="G7" s="418">
        <f>IF((B7-E7)&lt;0,"!","")</f>
      </c>
      <c r="H7" s="437" t="s">
        <v>72</v>
      </c>
      <c r="I7" s="81"/>
      <c r="J7" s="82"/>
      <c r="K7" s="533">
        <f aca="true" t="shared" si="1" ref="K7:K26">IF(J7=0,IF(I7=0,"","orná půda nehnojena"),IF(I7=0,"chybí aplikace celkem",IF(I7&lt;J7,"chyba","")))</f>
      </c>
      <c r="L7" s="533"/>
      <c r="M7" s="533"/>
      <c r="N7" s="533"/>
      <c r="O7" s="83"/>
      <c r="P7" s="83"/>
      <c r="Q7" s="40"/>
      <c r="R7" s="84"/>
      <c r="V7" s="373">
        <f aca="true" t="shared" si="2" ref="V7:V46">B7*C7</f>
        <v>0</v>
      </c>
      <c r="W7" s="86" t="s">
        <v>73</v>
      </c>
      <c r="X7" s="87">
        <f>B56</f>
        <v>0</v>
      </c>
      <c r="Y7" s="88">
        <f>B49</f>
        <v>0</v>
      </c>
      <c r="Z7" s="89">
        <v>0.22</v>
      </c>
      <c r="AA7" s="90">
        <v>0.75</v>
      </c>
      <c r="AB7" s="91">
        <f aca="true" t="shared" si="3" ref="AB7:AB27">Z7*AA7</f>
        <v>0.165</v>
      </c>
      <c r="AC7" s="92">
        <f aca="true" t="shared" si="4" ref="AC7:AC27">AB7*0.52</f>
        <v>0.0858</v>
      </c>
      <c r="AD7" s="93">
        <f>0.04/25*Z7*100</f>
        <v>0.0352</v>
      </c>
      <c r="AE7" s="94">
        <f>AD7/AC7</f>
        <v>0.4102564102564103</v>
      </c>
      <c r="AF7" s="95">
        <f>(6.5+6.9)/2</f>
        <v>6.7</v>
      </c>
      <c r="AG7" s="95">
        <v>4</v>
      </c>
      <c r="AH7" s="95">
        <v>7.6</v>
      </c>
      <c r="AI7" s="96">
        <f>J7*AB7</f>
        <v>0</v>
      </c>
      <c r="AJ7" s="97">
        <f>J7*AD7</f>
        <v>0</v>
      </c>
      <c r="AK7" s="98">
        <f aca="true" t="shared" si="5" ref="AK7:AM27">$I7*AF7</f>
        <v>0</v>
      </c>
      <c r="AL7" s="98">
        <f t="shared" si="5"/>
        <v>0</v>
      </c>
      <c r="AM7" s="98">
        <f t="shared" si="5"/>
        <v>0</v>
      </c>
      <c r="AP7" s="99">
        <f>0.8</f>
        <v>0.8</v>
      </c>
      <c r="AR7" s="100">
        <f aca="true" t="shared" si="6" ref="AR7:AR18">C7*AP7*E7</f>
        <v>0</v>
      </c>
      <c r="AS7" s="101">
        <f aca="true" t="shared" si="7" ref="AS7:AS18">IF(E7=0,0,AR7/E7)</f>
        <v>0</v>
      </c>
      <c r="AT7" s="102">
        <f aca="true" t="shared" si="8" ref="AT7:AT34">B7-E7</f>
        <v>0</v>
      </c>
      <c r="AU7" s="100">
        <f aca="true" t="shared" si="9" ref="AU7:AU31">C7*AP7*AT7</f>
        <v>0</v>
      </c>
      <c r="AV7" s="103">
        <v>0.8</v>
      </c>
      <c r="AW7" s="104">
        <f>AV7*0.52</f>
        <v>0.41600000000000004</v>
      </c>
      <c r="AX7" s="105">
        <v>0.1</v>
      </c>
      <c r="AY7" s="105">
        <f>AX7/AW7</f>
        <v>0.24038461538461536</v>
      </c>
      <c r="AZ7" s="106">
        <f aca="true" t="shared" si="10" ref="AZ7:AZ31">AU7*AV7</f>
        <v>0</v>
      </c>
      <c r="BA7" s="106" t="e">
        <f>AZ7/AT7</f>
        <v>#DIV/0!</v>
      </c>
      <c r="BB7" s="107">
        <f>AU7*AX7</f>
        <v>0</v>
      </c>
      <c r="BC7" s="108">
        <v>2</v>
      </c>
      <c r="BD7" s="109">
        <f aca="true" t="shared" si="11" ref="BD7:BD31">B7*BC7</f>
        <v>0</v>
      </c>
      <c r="BE7" s="108">
        <v>4</v>
      </c>
      <c r="BF7" s="109">
        <f>AT7*BE7</f>
        <v>0</v>
      </c>
      <c r="BG7" s="109">
        <f>BD7+BF7</f>
        <v>0</v>
      </c>
      <c r="BH7" s="110">
        <v>0.359</v>
      </c>
      <c r="BI7" s="110">
        <v>0.74</v>
      </c>
      <c r="BJ7" s="111">
        <f>BI7-BH7</f>
        <v>0.381</v>
      </c>
      <c r="BK7" s="112">
        <f>$C7*BH7</f>
        <v>0</v>
      </c>
      <c r="BL7" s="112">
        <f>$C7*BI7</f>
        <v>0</v>
      </c>
      <c r="BM7" s="113">
        <f>$C7*BJ7</f>
        <v>0</v>
      </c>
      <c r="BN7" s="114">
        <f>BK7/0.52</f>
        <v>0</v>
      </c>
      <c r="BO7" s="114">
        <f>BL7/0.52</f>
        <v>0</v>
      </c>
      <c r="BP7" s="113">
        <f>BM7/0.52</f>
        <v>0</v>
      </c>
      <c r="BQ7" s="113">
        <f aca="true" t="shared" si="12" ref="BQ7:BQ48">C7*AP7*AV7</f>
        <v>0</v>
      </c>
      <c r="BR7" s="115">
        <f aca="true" t="shared" si="13" ref="BR7:BR48">E7*BK7</f>
        <v>0</v>
      </c>
      <c r="BS7" s="115">
        <f aca="true" t="shared" si="14" ref="BS7:BS48">(B7-E7)*BL7</f>
        <v>0</v>
      </c>
      <c r="BT7" s="115">
        <f>BR7+BS7</f>
        <v>0</v>
      </c>
      <c r="BU7" s="116">
        <f aca="true" t="shared" si="15" ref="BU7:BU15">(B7-E7)*BM7</f>
        <v>0</v>
      </c>
      <c r="BV7" s="117">
        <v>20.9</v>
      </c>
      <c r="BW7" s="117">
        <v>7.6</v>
      </c>
      <c r="BX7" s="117">
        <v>4.5</v>
      </c>
      <c r="BY7" s="117">
        <v>4.3</v>
      </c>
      <c r="BZ7" s="117">
        <v>2.1</v>
      </c>
      <c r="CA7" s="117">
        <v>12</v>
      </c>
      <c r="CB7" s="100">
        <f aca="true" t="shared" si="16" ref="CB7:CB45">V7*BV7+$AR7*BY7</f>
        <v>0</v>
      </c>
      <c r="CC7" s="100">
        <f aca="true" t="shared" si="17" ref="CC7:CC45">V7*BW7+$AR7*BZ7</f>
        <v>0</v>
      </c>
      <c r="CD7" s="100">
        <f aca="true" t="shared" si="18" ref="CD7:CD45">V7*BX7+$AR7*CA7</f>
        <v>0</v>
      </c>
      <c r="CE7" s="100">
        <f>IF($B7=0,0,CB7/$B7)</f>
        <v>0</v>
      </c>
      <c r="CF7" s="100">
        <f>IF($B7=0,0,CC7/$B7)</f>
        <v>0</v>
      </c>
      <c r="CG7" s="100">
        <f>IF($B7=0,0,CD7/$B7)</f>
        <v>0</v>
      </c>
      <c r="CH7" s="117">
        <f aca="true" t="shared" si="19" ref="CH7:CJ22">BV7+$AP7*BY7</f>
        <v>24.34</v>
      </c>
      <c r="CI7" s="117">
        <f t="shared" si="19"/>
        <v>9.28</v>
      </c>
      <c r="CJ7" s="118">
        <f t="shared" si="19"/>
        <v>14.100000000000001</v>
      </c>
      <c r="CK7" s="119"/>
      <c r="CL7" s="120"/>
      <c r="CM7" s="121">
        <v>-1.9</v>
      </c>
      <c r="CN7" s="122">
        <f aca="true" t="shared" si="20" ref="CN7:CN48">IF(B$49=0,0,B7/B$49)</f>
        <v>0</v>
      </c>
      <c r="CO7" s="123">
        <f>CM7*CN7</f>
        <v>0</v>
      </c>
      <c r="CQ7" s="85">
        <v>-280</v>
      </c>
      <c r="CR7" s="124">
        <f aca="true" t="shared" si="21" ref="CR7:CR46">B7*CQ7</f>
        <v>0</v>
      </c>
      <c r="CT7" s="119">
        <v>1</v>
      </c>
      <c r="CU7" s="119">
        <f>CT7*CU$6</f>
        <v>4.27</v>
      </c>
      <c r="CV7" s="120">
        <f aca="true" t="shared" si="22" ref="CV7:CV48">B7*CU7</f>
        <v>0</v>
      </c>
      <c r="CW7" s="119"/>
      <c r="CX7" s="119"/>
    </row>
    <row r="8" spans="1:102" s="85" customFormat="1" ht="18" customHeight="1">
      <c r="A8" s="125" t="s">
        <v>74</v>
      </c>
      <c r="B8" s="126"/>
      <c r="C8" s="365"/>
      <c r="D8" s="358">
        <v>4.052195833920355</v>
      </c>
      <c r="E8" s="78"/>
      <c r="F8" s="79">
        <f t="shared" si="0"/>
        <v>0</v>
      </c>
      <c r="G8" s="418">
        <f aca="true" t="shared" si="23" ref="G8:G44">IF((B8-E8)&lt;0,"!","")</f>
      </c>
      <c r="H8" s="438" t="s">
        <v>75</v>
      </c>
      <c r="I8" s="81"/>
      <c r="J8" s="82"/>
      <c r="K8" s="533">
        <f t="shared" si="1"/>
      </c>
      <c r="L8" s="533"/>
      <c r="M8" s="533"/>
      <c r="N8" s="533"/>
      <c r="O8" s="40"/>
      <c r="P8" s="40"/>
      <c r="Q8" s="40"/>
      <c r="R8" s="84"/>
      <c r="V8" s="373">
        <f t="shared" si="2"/>
        <v>0</v>
      </c>
      <c r="W8" s="16" t="s">
        <v>76</v>
      </c>
      <c r="X8" s="127">
        <v>3493786.4299999997</v>
      </c>
      <c r="Y8" s="127">
        <v>2492566.4299999997</v>
      </c>
      <c r="Z8" s="89">
        <v>0.24</v>
      </c>
      <c r="AA8" s="90">
        <v>0.78</v>
      </c>
      <c r="AB8" s="91">
        <f t="shared" si="3"/>
        <v>0.1872</v>
      </c>
      <c r="AC8" s="92">
        <f t="shared" si="4"/>
        <v>0.097344</v>
      </c>
      <c r="AD8" s="93">
        <f>0.04/25*Z8*100</f>
        <v>0.038400000000000004</v>
      </c>
      <c r="AE8" s="94">
        <f aca="true" t="shared" si="24" ref="AE8:AE27">AD8/AC8</f>
        <v>0.39447731755424065</v>
      </c>
      <c r="AF8" s="95">
        <v>8.5</v>
      </c>
      <c r="AG8" s="95">
        <v>8.8</v>
      </c>
      <c r="AH8" s="95">
        <v>7</v>
      </c>
      <c r="AI8" s="96">
        <f>J8*AB8</f>
        <v>0</v>
      </c>
      <c r="AJ8" s="97">
        <f aca="true" t="shared" si="25" ref="AJ8:AJ27">J8*AD8</f>
        <v>0</v>
      </c>
      <c r="AK8" s="98">
        <f t="shared" si="5"/>
        <v>0</v>
      </c>
      <c r="AL8" s="98">
        <f t="shared" si="5"/>
        <v>0</v>
      </c>
      <c r="AM8" s="98">
        <f t="shared" si="5"/>
        <v>0</v>
      </c>
      <c r="AP8" s="99">
        <f>0.9</f>
        <v>0.9</v>
      </c>
      <c r="AR8" s="100">
        <f t="shared" si="6"/>
        <v>0</v>
      </c>
      <c r="AS8" s="101">
        <f t="shared" si="7"/>
        <v>0</v>
      </c>
      <c r="AT8" s="102">
        <f t="shared" si="8"/>
        <v>0</v>
      </c>
      <c r="AU8" s="100">
        <f t="shared" si="9"/>
        <v>0</v>
      </c>
      <c r="AV8" s="103">
        <v>0.8</v>
      </c>
      <c r="AW8" s="104">
        <f aca="true" t="shared" si="26" ref="AW8:AW33">AV8*0.52</f>
        <v>0.41600000000000004</v>
      </c>
      <c r="AX8" s="105">
        <v>0.1</v>
      </c>
      <c r="AY8" s="105">
        <f aca="true" t="shared" si="27" ref="AY8:AY31">AX8/AW8</f>
        <v>0.24038461538461536</v>
      </c>
      <c r="AZ8" s="106">
        <f t="shared" si="10"/>
        <v>0</v>
      </c>
      <c r="BA8" s="106" t="e">
        <f aca="true" t="shared" si="28" ref="BA8:BA31">AZ8/AT8</f>
        <v>#DIV/0!</v>
      </c>
      <c r="BB8" s="107">
        <f aca="true" t="shared" si="29" ref="BB8:BB15">AU8*AX8</f>
        <v>0</v>
      </c>
      <c r="BC8" s="108">
        <v>2</v>
      </c>
      <c r="BD8" s="109">
        <f t="shared" si="11"/>
        <v>0</v>
      </c>
      <c r="BE8" s="108">
        <v>3</v>
      </c>
      <c r="BF8" s="109">
        <f aca="true" t="shared" si="30" ref="BF8:BF31">AT8*BE8</f>
        <v>0</v>
      </c>
      <c r="BG8" s="109">
        <f aca="true" t="shared" si="31" ref="BG8:BG48">BD8+BF8</f>
        <v>0</v>
      </c>
      <c r="BH8" s="128">
        <v>0.391</v>
      </c>
      <c r="BI8" s="128">
        <v>0.851</v>
      </c>
      <c r="BJ8" s="111">
        <f aca="true" t="shared" si="32" ref="BJ8:BJ48">BI8-BH8</f>
        <v>0.45999999999999996</v>
      </c>
      <c r="BK8" s="112">
        <f aca="true" t="shared" si="33" ref="BK8:BM48">$C8*BH8</f>
        <v>0</v>
      </c>
      <c r="BL8" s="112">
        <f t="shared" si="33"/>
        <v>0</v>
      </c>
      <c r="BM8" s="113">
        <f t="shared" si="33"/>
        <v>0</v>
      </c>
      <c r="BN8" s="114">
        <f aca="true" t="shared" si="34" ref="BN8:BP48">BK8/0.52</f>
        <v>0</v>
      </c>
      <c r="BO8" s="114">
        <f t="shared" si="34"/>
        <v>0</v>
      </c>
      <c r="BP8" s="113">
        <f t="shared" si="34"/>
        <v>0</v>
      </c>
      <c r="BQ8" s="113">
        <f t="shared" si="12"/>
        <v>0</v>
      </c>
      <c r="BR8" s="115">
        <f t="shared" si="13"/>
        <v>0</v>
      </c>
      <c r="BS8" s="115">
        <f t="shared" si="14"/>
        <v>0</v>
      </c>
      <c r="BT8" s="115">
        <f aca="true" t="shared" si="35" ref="BT8:BT48">BR8+BS8</f>
        <v>0</v>
      </c>
      <c r="BU8" s="116">
        <f t="shared" si="15"/>
        <v>0</v>
      </c>
      <c r="BV8" s="119">
        <v>18.3</v>
      </c>
      <c r="BW8" s="119">
        <v>7.3</v>
      </c>
      <c r="BX8" s="119">
        <v>4.2</v>
      </c>
      <c r="BY8" s="119">
        <v>4.6</v>
      </c>
      <c r="BZ8" s="119">
        <v>1.8</v>
      </c>
      <c r="CA8" s="119">
        <v>12.6</v>
      </c>
      <c r="CB8" s="100">
        <f t="shared" si="16"/>
        <v>0</v>
      </c>
      <c r="CC8" s="100">
        <f t="shared" si="17"/>
        <v>0</v>
      </c>
      <c r="CD8" s="100">
        <f t="shared" si="18"/>
        <v>0</v>
      </c>
      <c r="CE8" s="100">
        <f aca="true" t="shared" si="36" ref="CE8:CG23">IF($B8=0,0,CB8/$B8)</f>
        <v>0</v>
      </c>
      <c r="CF8" s="100">
        <f t="shared" si="36"/>
        <v>0</v>
      </c>
      <c r="CG8" s="100">
        <f t="shared" si="36"/>
        <v>0</v>
      </c>
      <c r="CH8" s="117">
        <f>BV8+$AP8*BY8</f>
        <v>22.44</v>
      </c>
      <c r="CI8" s="117">
        <f t="shared" si="19"/>
        <v>8.92</v>
      </c>
      <c r="CJ8" s="118">
        <f t="shared" si="19"/>
        <v>15.54</v>
      </c>
      <c r="CK8" s="119"/>
      <c r="CL8" s="120"/>
      <c r="CM8" s="121">
        <v>-1.9</v>
      </c>
      <c r="CN8" s="122">
        <f t="shared" si="20"/>
        <v>0</v>
      </c>
      <c r="CO8" s="123">
        <f aca="true" t="shared" si="37" ref="CO8:CO48">CM8*CN8</f>
        <v>0</v>
      </c>
      <c r="CQ8" s="85">
        <v>-280</v>
      </c>
      <c r="CR8" s="124">
        <f t="shared" si="21"/>
        <v>0</v>
      </c>
      <c r="CT8" s="119">
        <v>1</v>
      </c>
      <c r="CU8" s="119">
        <f>CT8*CU$6</f>
        <v>4.27</v>
      </c>
      <c r="CV8" s="120">
        <f t="shared" si="22"/>
        <v>0</v>
      </c>
      <c r="CW8" s="119"/>
      <c r="CX8" s="119"/>
    </row>
    <row r="9" spans="1:102" s="85" customFormat="1" ht="18" customHeight="1">
      <c r="A9" s="125" t="s">
        <v>77</v>
      </c>
      <c r="B9" s="126"/>
      <c r="C9" s="365"/>
      <c r="D9" s="358">
        <v>4.916116884449429</v>
      </c>
      <c r="E9" s="78"/>
      <c r="F9" s="79">
        <f t="shared" si="0"/>
        <v>0</v>
      </c>
      <c r="G9" s="418">
        <f t="shared" si="23"/>
      </c>
      <c r="H9" s="438" t="s">
        <v>78</v>
      </c>
      <c r="I9" s="81"/>
      <c r="J9" s="82"/>
      <c r="K9" s="533">
        <f t="shared" si="1"/>
      </c>
      <c r="L9" s="533"/>
      <c r="M9" s="533"/>
      <c r="N9" s="533"/>
      <c r="O9" s="40"/>
      <c r="P9" s="40"/>
      <c r="Q9" s="40"/>
      <c r="R9" s="84"/>
      <c r="V9" s="373">
        <f t="shared" si="2"/>
        <v>0</v>
      </c>
      <c r="W9" s="129">
        <f>I45</f>
        <v>0</v>
      </c>
      <c r="X9" s="129">
        <f>I53</f>
        <v>0</v>
      </c>
      <c r="Y9" s="129"/>
      <c r="Z9" s="89">
        <v>0.3</v>
      </c>
      <c r="AA9" s="90">
        <v>0.8</v>
      </c>
      <c r="AB9" s="91">
        <f t="shared" si="3"/>
        <v>0.24</v>
      </c>
      <c r="AC9" s="92">
        <f t="shared" si="4"/>
        <v>0.1248</v>
      </c>
      <c r="AD9" s="93">
        <f>0.04/25*Z9*100</f>
        <v>0.048</v>
      </c>
      <c r="AE9" s="94">
        <f t="shared" si="24"/>
        <v>0.38461538461538464</v>
      </c>
      <c r="AF9" s="95">
        <v>5.2</v>
      </c>
      <c r="AG9" s="95">
        <v>3.5</v>
      </c>
      <c r="AH9" s="95">
        <v>8.7</v>
      </c>
      <c r="AI9" s="96">
        <f>J9*AB9</f>
        <v>0</v>
      </c>
      <c r="AJ9" s="97">
        <f t="shared" si="25"/>
        <v>0</v>
      </c>
      <c r="AK9" s="98">
        <f t="shared" si="5"/>
        <v>0</v>
      </c>
      <c r="AL9" s="98">
        <f t="shared" si="5"/>
        <v>0</v>
      </c>
      <c r="AM9" s="98">
        <f t="shared" si="5"/>
        <v>0</v>
      </c>
      <c r="AP9" s="99">
        <f>1</f>
        <v>1</v>
      </c>
      <c r="AR9" s="100">
        <f t="shared" si="6"/>
        <v>0</v>
      </c>
      <c r="AS9" s="101">
        <f t="shared" si="7"/>
        <v>0</v>
      </c>
      <c r="AT9" s="102">
        <f t="shared" si="8"/>
        <v>0</v>
      </c>
      <c r="AU9" s="100">
        <f t="shared" si="9"/>
        <v>0</v>
      </c>
      <c r="AV9" s="103">
        <v>0.8</v>
      </c>
      <c r="AW9" s="104">
        <f t="shared" si="26"/>
        <v>0.41600000000000004</v>
      </c>
      <c r="AX9" s="105">
        <v>0.1</v>
      </c>
      <c r="AY9" s="105">
        <f t="shared" si="27"/>
        <v>0.24038461538461536</v>
      </c>
      <c r="AZ9" s="106">
        <f t="shared" si="10"/>
        <v>0</v>
      </c>
      <c r="BA9" s="106" t="e">
        <f t="shared" si="28"/>
        <v>#DIV/0!</v>
      </c>
      <c r="BB9" s="107">
        <f t="shared" si="29"/>
        <v>0</v>
      </c>
      <c r="BC9" s="108">
        <v>2</v>
      </c>
      <c r="BD9" s="109">
        <f t="shared" si="11"/>
        <v>0</v>
      </c>
      <c r="BE9" s="108">
        <v>4</v>
      </c>
      <c r="BF9" s="109">
        <f t="shared" si="30"/>
        <v>0</v>
      </c>
      <c r="BG9" s="109">
        <f t="shared" si="31"/>
        <v>0</v>
      </c>
      <c r="BH9" s="128">
        <v>0.274</v>
      </c>
      <c r="BI9" s="128">
        <v>0.913</v>
      </c>
      <c r="BJ9" s="111">
        <f t="shared" si="32"/>
        <v>0.639</v>
      </c>
      <c r="BK9" s="112">
        <f t="shared" si="33"/>
        <v>0</v>
      </c>
      <c r="BL9" s="112">
        <f t="shared" si="33"/>
        <v>0</v>
      </c>
      <c r="BM9" s="113">
        <f t="shared" si="33"/>
        <v>0</v>
      </c>
      <c r="BN9" s="114">
        <f t="shared" si="34"/>
        <v>0</v>
      </c>
      <c r="BO9" s="114">
        <f t="shared" si="34"/>
        <v>0</v>
      </c>
      <c r="BP9" s="113">
        <f t="shared" si="34"/>
        <v>0</v>
      </c>
      <c r="BQ9" s="113">
        <f t="shared" si="12"/>
        <v>0</v>
      </c>
      <c r="BR9" s="115">
        <f t="shared" si="13"/>
        <v>0</v>
      </c>
      <c r="BS9" s="115">
        <f t="shared" si="14"/>
        <v>0</v>
      </c>
      <c r="BT9" s="115">
        <f t="shared" si="35"/>
        <v>0</v>
      </c>
      <c r="BU9" s="116">
        <f t="shared" si="15"/>
        <v>0</v>
      </c>
      <c r="BV9" s="119">
        <v>16</v>
      </c>
      <c r="BW9" s="119">
        <v>8</v>
      </c>
      <c r="BX9" s="119">
        <v>6</v>
      </c>
      <c r="BY9" s="119">
        <v>4.2</v>
      </c>
      <c r="BZ9" s="119">
        <v>2.3</v>
      </c>
      <c r="CA9" s="119">
        <v>12</v>
      </c>
      <c r="CB9" s="100">
        <f t="shared" si="16"/>
        <v>0</v>
      </c>
      <c r="CC9" s="100">
        <f t="shared" si="17"/>
        <v>0</v>
      </c>
      <c r="CD9" s="100">
        <f t="shared" si="18"/>
        <v>0</v>
      </c>
      <c r="CE9" s="100">
        <f t="shared" si="36"/>
        <v>0</v>
      </c>
      <c r="CF9" s="100">
        <f t="shared" si="36"/>
        <v>0</v>
      </c>
      <c r="CG9" s="100">
        <f t="shared" si="36"/>
        <v>0</v>
      </c>
      <c r="CH9" s="117">
        <f t="shared" si="19"/>
        <v>20.2</v>
      </c>
      <c r="CI9" s="117">
        <f t="shared" si="19"/>
        <v>10.3</v>
      </c>
      <c r="CJ9" s="118">
        <f t="shared" si="19"/>
        <v>18</v>
      </c>
      <c r="CK9" s="119"/>
      <c r="CL9" s="120"/>
      <c r="CM9" s="121">
        <v>-1.9</v>
      </c>
      <c r="CN9" s="122">
        <f t="shared" si="20"/>
        <v>0</v>
      </c>
      <c r="CO9" s="123">
        <f t="shared" si="37"/>
        <v>0</v>
      </c>
      <c r="CQ9" s="85">
        <v>-280</v>
      </c>
      <c r="CR9" s="124">
        <f t="shared" si="21"/>
        <v>0</v>
      </c>
      <c r="CT9" s="119">
        <v>1</v>
      </c>
      <c r="CU9" s="119">
        <f aca="true" t="shared" si="38" ref="CU9:CU48">CT9*CU$6</f>
        <v>4.27</v>
      </c>
      <c r="CV9" s="120">
        <f t="shared" si="22"/>
        <v>0</v>
      </c>
      <c r="CW9" s="119"/>
      <c r="CX9" s="119"/>
    </row>
    <row r="10" spans="1:102" s="85" customFormat="1" ht="18" customHeight="1">
      <c r="A10" s="125" t="s">
        <v>79</v>
      </c>
      <c r="B10" s="126"/>
      <c r="C10" s="365"/>
      <c r="D10" s="358">
        <v>5.846318159726613</v>
      </c>
      <c r="E10" s="78"/>
      <c r="F10" s="79">
        <f t="shared" si="0"/>
        <v>0</v>
      </c>
      <c r="G10" s="418">
        <f t="shared" si="23"/>
      </c>
      <c r="H10" s="438" t="s">
        <v>80</v>
      </c>
      <c r="I10" s="81"/>
      <c r="J10" s="82"/>
      <c r="K10" s="533">
        <f t="shared" si="1"/>
      </c>
      <c r="L10" s="533"/>
      <c r="M10" s="533"/>
      <c r="N10" s="533"/>
      <c r="O10" s="40"/>
      <c r="P10" s="40"/>
      <c r="Q10" s="40"/>
      <c r="R10" s="84"/>
      <c r="V10" s="373">
        <f t="shared" si="2"/>
        <v>0</v>
      </c>
      <c r="W10" s="130">
        <v>2.0016137810216756</v>
      </c>
      <c r="X10" s="130">
        <v>0.7847271461888385</v>
      </c>
      <c r="Y10" s="130"/>
      <c r="Z10" s="89">
        <v>0.32</v>
      </c>
      <c r="AA10" s="90">
        <v>0.8</v>
      </c>
      <c r="AB10" s="91">
        <f t="shared" si="3"/>
        <v>0.256</v>
      </c>
      <c r="AC10" s="92">
        <f t="shared" si="4"/>
        <v>0.13312000000000002</v>
      </c>
      <c r="AD10" s="93">
        <f>0.04/25*Z10*100</f>
        <v>0.05120000000000001</v>
      </c>
      <c r="AE10" s="94">
        <f t="shared" si="24"/>
        <v>0.38461538461538464</v>
      </c>
      <c r="AF10" s="95">
        <v>8.9</v>
      </c>
      <c r="AG10" s="95">
        <v>5.4</v>
      </c>
      <c r="AH10" s="95">
        <v>17.7</v>
      </c>
      <c r="AI10" s="96">
        <f>J10*AB10</f>
        <v>0</v>
      </c>
      <c r="AJ10" s="97">
        <f t="shared" si="25"/>
        <v>0</v>
      </c>
      <c r="AK10" s="98">
        <f t="shared" si="5"/>
        <v>0</v>
      </c>
      <c r="AL10" s="98">
        <f t="shared" si="5"/>
        <v>0</v>
      </c>
      <c r="AM10" s="98">
        <f t="shared" si="5"/>
        <v>0</v>
      </c>
      <c r="AP10" s="99">
        <f>0.7</f>
        <v>0.7</v>
      </c>
      <c r="AR10" s="100">
        <f t="shared" si="6"/>
        <v>0</v>
      </c>
      <c r="AS10" s="101">
        <f t="shared" si="7"/>
        <v>0</v>
      </c>
      <c r="AT10" s="102">
        <f t="shared" si="8"/>
        <v>0</v>
      </c>
      <c r="AU10" s="100">
        <f t="shared" si="9"/>
        <v>0</v>
      </c>
      <c r="AV10" s="103">
        <v>0.8</v>
      </c>
      <c r="AW10" s="104">
        <f t="shared" si="26"/>
        <v>0.41600000000000004</v>
      </c>
      <c r="AX10" s="105">
        <v>0.1</v>
      </c>
      <c r="AY10" s="105">
        <f t="shared" si="27"/>
        <v>0.24038461538461536</v>
      </c>
      <c r="AZ10" s="106">
        <f t="shared" si="10"/>
        <v>0</v>
      </c>
      <c r="BA10" s="106" t="e">
        <f t="shared" si="28"/>
        <v>#DIV/0!</v>
      </c>
      <c r="BB10" s="107">
        <f t="shared" si="29"/>
        <v>0</v>
      </c>
      <c r="BC10" s="108">
        <v>2</v>
      </c>
      <c r="BD10" s="109">
        <f t="shared" si="11"/>
        <v>0</v>
      </c>
      <c r="BE10" s="108">
        <v>3</v>
      </c>
      <c r="BF10" s="109">
        <f t="shared" si="30"/>
        <v>0</v>
      </c>
      <c r="BG10" s="109">
        <f t="shared" si="31"/>
        <v>0</v>
      </c>
      <c r="BH10" s="131">
        <v>0.247</v>
      </c>
      <c r="BI10" s="131">
        <v>0.566</v>
      </c>
      <c r="BJ10" s="111">
        <f t="shared" si="32"/>
        <v>0.31899999999999995</v>
      </c>
      <c r="BK10" s="112">
        <f t="shared" si="33"/>
        <v>0</v>
      </c>
      <c r="BL10" s="112">
        <f t="shared" si="33"/>
        <v>0</v>
      </c>
      <c r="BM10" s="113">
        <f t="shared" si="33"/>
        <v>0</v>
      </c>
      <c r="BN10" s="114">
        <f t="shared" si="34"/>
        <v>0</v>
      </c>
      <c r="BO10" s="114">
        <f t="shared" si="34"/>
        <v>0</v>
      </c>
      <c r="BP10" s="113">
        <f t="shared" si="34"/>
        <v>0</v>
      </c>
      <c r="BQ10" s="113">
        <f t="shared" si="12"/>
        <v>0</v>
      </c>
      <c r="BR10" s="115">
        <f t="shared" si="13"/>
        <v>0</v>
      </c>
      <c r="BS10" s="115">
        <f t="shared" si="14"/>
        <v>0</v>
      </c>
      <c r="BT10" s="115">
        <f t="shared" si="35"/>
        <v>0</v>
      </c>
      <c r="BU10" s="116">
        <f t="shared" si="15"/>
        <v>0</v>
      </c>
      <c r="BV10" s="119">
        <v>17</v>
      </c>
      <c r="BW10" s="119">
        <v>7.8</v>
      </c>
      <c r="BX10" s="119">
        <v>6</v>
      </c>
      <c r="BY10" s="119">
        <v>5.5</v>
      </c>
      <c r="BZ10" s="119">
        <v>2.1</v>
      </c>
      <c r="CA10" s="119">
        <v>13.2</v>
      </c>
      <c r="CB10" s="100">
        <f t="shared" si="16"/>
        <v>0</v>
      </c>
      <c r="CC10" s="100">
        <f t="shared" si="17"/>
        <v>0</v>
      </c>
      <c r="CD10" s="100">
        <f t="shared" si="18"/>
        <v>0</v>
      </c>
      <c r="CE10" s="100">
        <f t="shared" si="36"/>
        <v>0</v>
      </c>
      <c r="CF10" s="100">
        <f t="shared" si="36"/>
        <v>0</v>
      </c>
      <c r="CG10" s="100">
        <f t="shared" si="36"/>
        <v>0</v>
      </c>
      <c r="CH10" s="117">
        <f t="shared" si="19"/>
        <v>20.85</v>
      </c>
      <c r="CI10" s="117">
        <f t="shared" si="19"/>
        <v>9.27</v>
      </c>
      <c r="CJ10" s="118">
        <f t="shared" si="19"/>
        <v>15.239999999999998</v>
      </c>
      <c r="CK10" s="119"/>
      <c r="CL10" s="120"/>
      <c r="CM10" s="121">
        <v>-1.9</v>
      </c>
      <c r="CN10" s="122">
        <f t="shared" si="20"/>
        <v>0</v>
      </c>
      <c r="CO10" s="123">
        <f t="shared" si="37"/>
        <v>0</v>
      </c>
      <c r="CQ10" s="85">
        <v>-280</v>
      </c>
      <c r="CR10" s="124">
        <f t="shared" si="21"/>
        <v>0</v>
      </c>
      <c r="CT10" s="119">
        <v>1</v>
      </c>
      <c r="CU10" s="119">
        <f t="shared" si="38"/>
        <v>4.27</v>
      </c>
      <c r="CV10" s="120">
        <f t="shared" si="22"/>
        <v>0</v>
      </c>
      <c r="CW10" s="119"/>
      <c r="CX10" s="119"/>
    </row>
    <row r="11" spans="1:102" s="85" customFormat="1" ht="18" customHeight="1">
      <c r="A11" s="420" t="s">
        <v>81</v>
      </c>
      <c r="B11" s="126"/>
      <c r="C11" s="365"/>
      <c r="D11" s="358">
        <v>4.963124981645474</v>
      </c>
      <c r="E11" s="78"/>
      <c r="F11" s="79">
        <f t="shared" si="0"/>
        <v>0</v>
      </c>
      <c r="G11" s="418">
        <f t="shared" si="23"/>
      </c>
      <c r="H11" s="438" t="s">
        <v>82</v>
      </c>
      <c r="I11" s="133"/>
      <c r="J11" s="134"/>
      <c r="K11" s="533">
        <f t="shared" si="1"/>
      </c>
      <c r="L11" s="533"/>
      <c r="M11" s="533"/>
      <c r="N11" s="533"/>
      <c r="O11" s="40"/>
      <c r="P11" s="40"/>
      <c r="Q11" s="40"/>
      <c r="R11" s="84"/>
      <c r="V11" s="373">
        <f t="shared" si="2"/>
        <v>0</v>
      </c>
      <c r="W11" s="129">
        <f>CE63</f>
        <v>0</v>
      </c>
      <c r="X11" s="129">
        <f>CF63</f>
        <v>0</v>
      </c>
      <c r="Y11" s="129">
        <f>CG63</f>
        <v>0</v>
      </c>
      <c r="Z11" s="89">
        <v>0.012</v>
      </c>
      <c r="AA11" s="90">
        <v>0.83</v>
      </c>
      <c r="AB11" s="91">
        <f t="shared" si="3"/>
        <v>0.00996</v>
      </c>
      <c r="AC11" s="92">
        <f t="shared" si="4"/>
        <v>0.0051792</v>
      </c>
      <c r="AD11" s="93">
        <v>0</v>
      </c>
      <c r="AE11" s="94">
        <f t="shared" si="24"/>
        <v>0</v>
      </c>
      <c r="AF11" s="95">
        <v>1.5</v>
      </c>
      <c r="AG11" s="95">
        <v>0.2</v>
      </c>
      <c r="AH11" s="95">
        <v>2.1</v>
      </c>
      <c r="AI11" s="135"/>
      <c r="AJ11" s="97">
        <f t="shared" si="25"/>
        <v>0</v>
      </c>
      <c r="AK11" s="98">
        <f t="shared" si="5"/>
        <v>0</v>
      </c>
      <c r="AL11" s="98">
        <f t="shared" si="5"/>
        <v>0</v>
      </c>
      <c r="AM11" s="98">
        <f t="shared" si="5"/>
        <v>0</v>
      </c>
      <c r="AP11" s="99">
        <f>0.6</f>
        <v>0.6</v>
      </c>
      <c r="AR11" s="100">
        <f t="shared" si="6"/>
        <v>0</v>
      </c>
      <c r="AS11" s="101">
        <f t="shared" si="7"/>
        <v>0</v>
      </c>
      <c r="AT11" s="102">
        <f t="shared" si="8"/>
        <v>0</v>
      </c>
      <c r="AU11" s="100">
        <f t="shared" si="9"/>
        <v>0</v>
      </c>
      <c r="AV11" s="103">
        <v>0.8</v>
      </c>
      <c r="AW11" s="104">
        <f t="shared" si="26"/>
        <v>0.41600000000000004</v>
      </c>
      <c r="AX11" s="105">
        <v>0.1</v>
      </c>
      <c r="AY11" s="105">
        <f t="shared" si="27"/>
        <v>0.24038461538461536</v>
      </c>
      <c r="AZ11" s="106">
        <f t="shared" si="10"/>
        <v>0</v>
      </c>
      <c r="BA11" s="106" t="e">
        <f t="shared" si="28"/>
        <v>#DIV/0!</v>
      </c>
      <c r="BB11" s="107">
        <f t="shared" si="29"/>
        <v>0</v>
      </c>
      <c r="BC11" s="108">
        <v>2</v>
      </c>
      <c r="BD11" s="109">
        <f t="shared" si="11"/>
        <v>0</v>
      </c>
      <c r="BE11" s="108">
        <v>3</v>
      </c>
      <c r="BF11" s="109">
        <f t="shared" si="30"/>
        <v>0</v>
      </c>
      <c r="BG11" s="109">
        <f t="shared" si="31"/>
        <v>0</v>
      </c>
      <c r="BH11" s="128">
        <v>0.257</v>
      </c>
      <c r="BI11" s="128">
        <v>0.548</v>
      </c>
      <c r="BJ11" s="111">
        <f t="shared" si="32"/>
        <v>0.29100000000000004</v>
      </c>
      <c r="BK11" s="112">
        <f t="shared" si="33"/>
        <v>0</v>
      </c>
      <c r="BL11" s="112">
        <f t="shared" si="33"/>
        <v>0</v>
      </c>
      <c r="BM11" s="113">
        <f t="shared" si="33"/>
        <v>0</v>
      </c>
      <c r="BN11" s="114">
        <f t="shared" si="34"/>
        <v>0</v>
      </c>
      <c r="BO11" s="114">
        <f t="shared" si="34"/>
        <v>0</v>
      </c>
      <c r="BP11" s="113">
        <f t="shared" si="34"/>
        <v>0</v>
      </c>
      <c r="BQ11" s="113">
        <f t="shared" si="12"/>
        <v>0</v>
      </c>
      <c r="BR11" s="115">
        <f t="shared" si="13"/>
        <v>0</v>
      </c>
      <c r="BS11" s="115">
        <f t="shared" si="14"/>
        <v>0</v>
      </c>
      <c r="BT11" s="115">
        <f t="shared" si="35"/>
        <v>0</v>
      </c>
      <c r="BU11" s="116">
        <f t="shared" si="15"/>
        <v>0</v>
      </c>
      <c r="BV11" s="119">
        <v>16.5</v>
      </c>
      <c r="BW11" s="119">
        <v>8</v>
      </c>
      <c r="BX11" s="119">
        <v>5.4</v>
      </c>
      <c r="BY11" s="119">
        <v>6</v>
      </c>
      <c r="BZ11" s="119">
        <v>2.3</v>
      </c>
      <c r="CA11" s="119">
        <v>13.2</v>
      </c>
      <c r="CB11" s="100">
        <f t="shared" si="16"/>
        <v>0</v>
      </c>
      <c r="CC11" s="100">
        <f t="shared" si="17"/>
        <v>0</v>
      </c>
      <c r="CD11" s="100">
        <f t="shared" si="18"/>
        <v>0</v>
      </c>
      <c r="CE11" s="100">
        <f>IF($B11=0,0,CB11/$B11)</f>
        <v>0</v>
      </c>
      <c r="CF11" s="100">
        <f>IF($B11=0,0,CC11/$B11)</f>
        <v>0</v>
      </c>
      <c r="CG11" s="100">
        <f>IF($B11=0,0,CD11/$B11)</f>
        <v>0</v>
      </c>
      <c r="CH11" s="117">
        <f t="shared" si="19"/>
        <v>20.1</v>
      </c>
      <c r="CI11" s="117">
        <f t="shared" si="19"/>
        <v>9.379999999999999</v>
      </c>
      <c r="CJ11" s="118">
        <f t="shared" si="19"/>
        <v>13.32</v>
      </c>
      <c r="CK11" s="119"/>
      <c r="CL11" s="120"/>
      <c r="CM11" s="121">
        <v>-1.9</v>
      </c>
      <c r="CN11" s="122">
        <f t="shared" si="20"/>
        <v>0</v>
      </c>
      <c r="CO11" s="123">
        <f t="shared" si="37"/>
        <v>0</v>
      </c>
      <c r="CQ11" s="85">
        <v>-280</v>
      </c>
      <c r="CR11" s="124">
        <f t="shared" si="21"/>
        <v>0</v>
      </c>
      <c r="CT11" s="119">
        <v>1</v>
      </c>
      <c r="CU11" s="119">
        <f t="shared" si="38"/>
        <v>4.27</v>
      </c>
      <c r="CV11" s="120">
        <f t="shared" si="22"/>
        <v>0</v>
      </c>
      <c r="CW11" s="119"/>
      <c r="CX11" s="119"/>
    </row>
    <row r="12" spans="1:102" s="85" customFormat="1" ht="18" customHeight="1">
      <c r="A12" s="125" t="s">
        <v>83</v>
      </c>
      <c r="B12" s="126"/>
      <c r="C12" s="365"/>
      <c r="D12" s="358">
        <v>3.2325272971622394</v>
      </c>
      <c r="E12" s="78"/>
      <c r="F12" s="79">
        <f t="shared" si="0"/>
        <v>0</v>
      </c>
      <c r="G12" s="418">
        <f t="shared" si="23"/>
      </c>
      <c r="H12" s="438" t="s">
        <v>84</v>
      </c>
      <c r="I12" s="133"/>
      <c r="J12" s="134"/>
      <c r="K12" s="533">
        <f t="shared" si="1"/>
      </c>
      <c r="L12" s="533"/>
      <c r="M12" s="533"/>
      <c r="N12" s="533"/>
      <c r="O12" s="40"/>
      <c r="P12" s="40"/>
      <c r="Q12" s="40"/>
      <c r="R12" s="84"/>
      <c r="V12" s="373">
        <f t="shared" si="2"/>
        <v>0</v>
      </c>
      <c r="W12" s="130">
        <v>63.616533476356025</v>
      </c>
      <c r="X12" s="130">
        <v>-3.099455627977053</v>
      </c>
      <c r="Y12" s="130">
        <v>-23.163656421451808</v>
      </c>
      <c r="Z12" s="89">
        <v>0.012</v>
      </c>
      <c r="AA12" s="90">
        <v>0.83</v>
      </c>
      <c r="AB12" s="91">
        <f t="shared" si="3"/>
        <v>0.00996</v>
      </c>
      <c r="AC12" s="92">
        <f t="shared" si="4"/>
        <v>0.0051792</v>
      </c>
      <c r="AD12" s="93">
        <v>0</v>
      </c>
      <c r="AE12" s="94">
        <f t="shared" si="24"/>
        <v>0</v>
      </c>
      <c r="AF12" s="95">
        <v>2.2</v>
      </c>
      <c r="AG12" s="95">
        <v>0.5</v>
      </c>
      <c r="AH12" s="95">
        <v>2.1</v>
      </c>
      <c r="AI12" s="135"/>
      <c r="AJ12" s="97">
        <f t="shared" si="25"/>
        <v>0</v>
      </c>
      <c r="AK12" s="98">
        <f t="shared" si="5"/>
        <v>0</v>
      </c>
      <c r="AL12" s="98">
        <f t="shared" si="5"/>
        <v>0</v>
      </c>
      <c r="AM12" s="98">
        <f t="shared" si="5"/>
        <v>0</v>
      </c>
      <c r="AP12" s="99">
        <f>1.1</f>
        <v>1.1</v>
      </c>
      <c r="AR12" s="100">
        <f t="shared" si="6"/>
        <v>0</v>
      </c>
      <c r="AS12" s="101">
        <f t="shared" si="7"/>
        <v>0</v>
      </c>
      <c r="AT12" s="102">
        <f t="shared" si="8"/>
        <v>0</v>
      </c>
      <c r="AU12" s="100">
        <f t="shared" si="9"/>
        <v>0</v>
      </c>
      <c r="AV12" s="103">
        <v>0.8</v>
      </c>
      <c r="AW12" s="104">
        <f t="shared" si="26"/>
        <v>0.41600000000000004</v>
      </c>
      <c r="AX12" s="105">
        <v>0.1</v>
      </c>
      <c r="AY12" s="105">
        <f t="shared" si="27"/>
        <v>0.24038461538461536</v>
      </c>
      <c r="AZ12" s="106">
        <f t="shared" si="10"/>
        <v>0</v>
      </c>
      <c r="BA12" s="106" t="e">
        <f t="shared" si="28"/>
        <v>#DIV/0!</v>
      </c>
      <c r="BB12" s="107">
        <f t="shared" si="29"/>
        <v>0</v>
      </c>
      <c r="BC12" s="108">
        <v>2</v>
      </c>
      <c r="BD12" s="109">
        <f t="shared" si="11"/>
        <v>0</v>
      </c>
      <c r="BE12" s="108">
        <v>3</v>
      </c>
      <c r="BF12" s="109">
        <f t="shared" si="30"/>
        <v>0</v>
      </c>
      <c r="BG12" s="109">
        <f t="shared" si="31"/>
        <v>0</v>
      </c>
      <c r="BH12" s="131">
        <v>0.438</v>
      </c>
      <c r="BI12" s="131">
        <v>0.837</v>
      </c>
      <c r="BJ12" s="111">
        <f t="shared" si="32"/>
        <v>0.39899999999999997</v>
      </c>
      <c r="BK12" s="112">
        <f t="shared" si="33"/>
        <v>0</v>
      </c>
      <c r="BL12" s="112">
        <f t="shared" si="33"/>
        <v>0</v>
      </c>
      <c r="BM12" s="113">
        <f t="shared" si="33"/>
        <v>0</v>
      </c>
      <c r="BN12" s="114">
        <f t="shared" si="34"/>
        <v>0</v>
      </c>
      <c r="BO12" s="114">
        <f t="shared" si="34"/>
        <v>0</v>
      </c>
      <c r="BP12" s="113">
        <f t="shared" si="34"/>
        <v>0</v>
      </c>
      <c r="BQ12" s="113">
        <f t="shared" si="12"/>
        <v>0</v>
      </c>
      <c r="BR12" s="115">
        <f t="shared" si="13"/>
        <v>0</v>
      </c>
      <c r="BS12" s="115">
        <f t="shared" si="14"/>
        <v>0</v>
      </c>
      <c r="BT12" s="115">
        <f t="shared" si="35"/>
        <v>0</v>
      </c>
      <c r="BU12" s="116">
        <f t="shared" si="15"/>
        <v>0</v>
      </c>
      <c r="BV12" s="119">
        <v>18.8</v>
      </c>
      <c r="BW12" s="119">
        <v>8.9</v>
      </c>
      <c r="BX12" s="119">
        <v>6</v>
      </c>
      <c r="BY12" s="119">
        <v>5.7</v>
      </c>
      <c r="BZ12" s="119">
        <v>3.4</v>
      </c>
      <c r="CA12" s="119">
        <v>21.4</v>
      </c>
      <c r="CB12" s="100">
        <f t="shared" si="16"/>
        <v>0</v>
      </c>
      <c r="CC12" s="100">
        <f t="shared" si="17"/>
        <v>0</v>
      </c>
      <c r="CD12" s="100">
        <f t="shared" si="18"/>
        <v>0</v>
      </c>
      <c r="CE12" s="100">
        <f t="shared" si="36"/>
        <v>0</v>
      </c>
      <c r="CF12" s="100">
        <f t="shared" si="36"/>
        <v>0</v>
      </c>
      <c r="CG12" s="100">
        <f t="shared" si="36"/>
        <v>0</v>
      </c>
      <c r="CH12" s="117">
        <f t="shared" si="19"/>
        <v>25.07</v>
      </c>
      <c r="CI12" s="117">
        <f t="shared" si="19"/>
        <v>12.64</v>
      </c>
      <c r="CJ12" s="118">
        <f t="shared" si="19"/>
        <v>29.54</v>
      </c>
      <c r="CK12" s="119"/>
      <c r="CL12" s="120"/>
      <c r="CM12" s="121">
        <v>-1.9</v>
      </c>
      <c r="CN12" s="122">
        <f t="shared" si="20"/>
        <v>0</v>
      </c>
      <c r="CO12" s="123">
        <f t="shared" si="37"/>
        <v>0</v>
      </c>
      <c r="CQ12" s="85">
        <v>-280</v>
      </c>
      <c r="CR12" s="124">
        <f t="shared" si="21"/>
        <v>0</v>
      </c>
      <c r="CT12" s="119">
        <v>1</v>
      </c>
      <c r="CU12" s="119">
        <f t="shared" si="38"/>
        <v>4.27</v>
      </c>
      <c r="CV12" s="120">
        <f t="shared" si="22"/>
        <v>0</v>
      </c>
      <c r="CW12" s="119"/>
      <c r="CX12" s="119"/>
    </row>
    <row r="13" spans="1:102" s="85" customFormat="1" ht="18" customHeight="1">
      <c r="A13" s="125" t="s">
        <v>85</v>
      </c>
      <c r="B13" s="126"/>
      <c r="C13" s="365"/>
      <c r="D13" s="358">
        <v>4.887891006539365</v>
      </c>
      <c r="E13" s="78"/>
      <c r="F13" s="79">
        <f t="shared" si="0"/>
        <v>0</v>
      </c>
      <c r="G13" s="418">
        <f t="shared" si="23"/>
      </c>
      <c r="H13" s="437" t="s">
        <v>86</v>
      </c>
      <c r="I13" s="81"/>
      <c r="J13" s="82"/>
      <c r="K13" s="533">
        <f t="shared" si="1"/>
      </c>
      <c r="L13" s="533"/>
      <c r="M13" s="533"/>
      <c r="N13" s="533"/>
      <c r="O13" s="40"/>
      <c r="P13" s="40"/>
      <c r="Q13" s="40"/>
      <c r="R13" s="84"/>
      <c r="V13" s="373">
        <f t="shared" si="2"/>
        <v>0</v>
      </c>
      <c r="Z13" s="89">
        <v>0.073</v>
      </c>
      <c r="AA13" s="90">
        <v>0.78</v>
      </c>
      <c r="AB13" s="91">
        <f t="shared" si="3"/>
        <v>0.05694</v>
      </c>
      <c r="AC13" s="92">
        <f t="shared" si="4"/>
        <v>0.0296088</v>
      </c>
      <c r="AD13" s="93">
        <v>0.009</v>
      </c>
      <c r="AE13" s="94">
        <f t="shared" si="24"/>
        <v>0.3039636864715895</v>
      </c>
      <c r="AF13" s="95">
        <v>3.9</v>
      </c>
      <c r="AG13" s="95">
        <v>1.6</v>
      </c>
      <c r="AH13" s="95">
        <v>3.1</v>
      </c>
      <c r="AI13" s="96">
        <f aca="true" t="shared" si="39" ref="AI13:AI24">J13*AB13</f>
        <v>0</v>
      </c>
      <c r="AJ13" s="136">
        <f t="shared" si="25"/>
        <v>0</v>
      </c>
      <c r="AK13" s="98">
        <f t="shared" si="5"/>
        <v>0</v>
      </c>
      <c r="AL13" s="98">
        <f t="shared" si="5"/>
        <v>0</v>
      </c>
      <c r="AM13" s="98">
        <f t="shared" si="5"/>
        <v>0</v>
      </c>
      <c r="AP13" s="99">
        <f>0.9</f>
        <v>0.9</v>
      </c>
      <c r="AR13" s="100">
        <f t="shared" si="6"/>
        <v>0</v>
      </c>
      <c r="AS13" s="101">
        <f t="shared" si="7"/>
        <v>0</v>
      </c>
      <c r="AT13" s="102">
        <f t="shared" si="8"/>
        <v>0</v>
      </c>
      <c r="AU13" s="100">
        <f t="shared" si="9"/>
        <v>0</v>
      </c>
      <c r="AV13" s="103">
        <v>0.8</v>
      </c>
      <c r="AW13" s="104">
        <f t="shared" si="26"/>
        <v>0.41600000000000004</v>
      </c>
      <c r="AX13" s="105">
        <v>0.1</v>
      </c>
      <c r="AY13" s="105">
        <f t="shared" si="27"/>
        <v>0.24038461538461536</v>
      </c>
      <c r="AZ13" s="106">
        <f t="shared" si="10"/>
        <v>0</v>
      </c>
      <c r="BA13" s="106" t="e">
        <f t="shared" si="28"/>
        <v>#DIV/0!</v>
      </c>
      <c r="BB13" s="107">
        <f t="shared" si="29"/>
        <v>0</v>
      </c>
      <c r="BC13" s="108">
        <v>2</v>
      </c>
      <c r="BD13" s="109">
        <f t="shared" si="11"/>
        <v>0</v>
      </c>
      <c r="BE13" s="108">
        <v>3.5</v>
      </c>
      <c r="BF13" s="109">
        <f t="shared" si="30"/>
        <v>0</v>
      </c>
      <c r="BG13" s="109">
        <f t="shared" si="31"/>
        <v>0</v>
      </c>
      <c r="BH13" s="128">
        <v>0.334</v>
      </c>
      <c r="BI13" s="128">
        <v>0.756</v>
      </c>
      <c r="BJ13" s="111">
        <f t="shared" si="32"/>
        <v>0.422</v>
      </c>
      <c r="BK13" s="112">
        <f t="shared" si="33"/>
        <v>0</v>
      </c>
      <c r="BL13" s="112">
        <f t="shared" si="33"/>
        <v>0</v>
      </c>
      <c r="BM13" s="113">
        <f t="shared" si="33"/>
        <v>0</v>
      </c>
      <c r="BN13" s="114">
        <f t="shared" si="34"/>
        <v>0</v>
      </c>
      <c r="BO13" s="114">
        <f t="shared" si="34"/>
        <v>0</v>
      </c>
      <c r="BP13" s="113">
        <f t="shared" si="34"/>
        <v>0</v>
      </c>
      <c r="BQ13" s="113">
        <f t="shared" si="12"/>
        <v>0</v>
      </c>
      <c r="BR13" s="115">
        <f t="shared" si="13"/>
        <v>0</v>
      </c>
      <c r="BS13" s="115">
        <f t="shared" si="14"/>
        <v>0</v>
      </c>
      <c r="BT13" s="115">
        <f t="shared" si="35"/>
        <v>0</v>
      </c>
      <c r="BU13" s="116">
        <f t="shared" si="15"/>
        <v>0</v>
      </c>
      <c r="BV13" s="119">
        <v>18</v>
      </c>
      <c r="BW13" s="119">
        <v>8.7</v>
      </c>
      <c r="BX13" s="119">
        <v>5.5</v>
      </c>
      <c r="BY13" s="119">
        <v>5.5</v>
      </c>
      <c r="BZ13" s="119">
        <v>2.1</v>
      </c>
      <c r="CA13" s="119">
        <v>15.1</v>
      </c>
      <c r="CB13" s="100">
        <f t="shared" si="16"/>
        <v>0</v>
      </c>
      <c r="CC13" s="100">
        <f t="shared" si="17"/>
        <v>0</v>
      </c>
      <c r="CD13" s="100">
        <f t="shared" si="18"/>
        <v>0</v>
      </c>
      <c r="CE13" s="100">
        <f t="shared" si="36"/>
        <v>0</v>
      </c>
      <c r="CF13" s="100">
        <f t="shared" si="36"/>
        <v>0</v>
      </c>
      <c r="CG13" s="100">
        <f t="shared" si="36"/>
        <v>0</v>
      </c>
      <c r="CH13" s="117">
        <f t="shared" si="19"/>
        <v>22.95</v>
      </c>
      <c r="CI13" s="117">
        <f t="shared" si="19"/>
        <v>10.59</v>
      </c>
      <c r="CJ13" s="118">
        <f t="shared" si="19"/>
        <v>19.09</v>
      </c>
      <c r="CK13" s="119"/>
      <c r="CL13" s="120"/>
      <c r="CM13" s="121">
        <v>-1.9</v>
      </c>
      <c r="CN13" s="122">
        <f t="shared" si="20"/>
        <v>0</v>
      </c>
      <c r="CO13" s="123">
        <f t="shared" si="37"/>
        <v>0</v>
      </c>
      <c r="CQ13" s="85">
        <v>-280</v>
      </c>
      <c r="CR13" s="124">
        <f t="shared" si="21"/>
        <v>0</v>
      </c>
      <c r="CT13" s="119">
        <v>1</v>
      </c>
      <c r="CU13" s="119">
        <f t="shared" si="38"/>
        <v>4.27</v>
      </c>
      <c r="CV13" s="120">
        <f t="shared" si="22"/>
        <v>0</v>
      </c>
      <c r="CW13" s="119"/>
      <c r="CX13" s="119"/>
    </row>
    <row r="14" spans="1:102" s="85" customFormat="1" ht="18" customHeight="1">
      <c r="A14" s="420" t="s">
        <v>87</v>
      </c>
      <c r="B14" s="126"/>
      <c r="C14" s="365"/>
      <c r="D14" s="358">
        <v>6.8388671517283</v>
      </c>
      <c r="E14" s="78"/>
      <c r="F14" s="79">
        <f t="shared" si="0"/>
        <v>0</v>
      </c>
      <c r="G14" s="418">
        <f t="shared" si="23"/>
      </c>
      <c r="H14" s="438" t="s">
        <v>88</v>
      </c>
      <c r="I14" s="81"/>
      <c r="J14" s="82"/>
      <c r="K14" s="533">
        <f t="shared" si="1"/>
      </c>
      <c r="L14" s="533"/>
      <c r="M14" s="533"/>
      <c r="N14" s="533"/>
      <c r="O14" s="40"/>
      <c r="P14" s="40"/>
      <c r="Q14" s="40"/>
      <c r="R14" s="84"/>
      <c r="V14" s="373">
        <f t="shared" si="2"/>
        <v>0</v>
      </c>
      <c r="Z14" s="89">
        <v>0.058</v>
      </c>
      <c r="AA14" s="90">
        <v>0.78</v>
      </c>
      <c r="AB14" s="91">
        <f t="shared" si="3"/>
        <v>0.04524</v>
      </c>
      <c r="AC14" s="92">
        <f t="shared" si="4"/>
        <v>0.023524800000000002</v>
      </c>
      <c r="AD14" s="93">
        <v>0.007</v>
      </c>
      <c r="AE14" s="94">
        <f t="shared" si="24"/>
        <v>0.29755832143100047</v>
      </c>
      <c r="AF14" s="95">
        <v>3.9</v>
      </c>
      <c r="AG14" s="95">
        <v>1.6</v>
      </c>
      <c r="AH14" s="95">
        <v>3.2</v>
      </c>
      <c r="AI14" s="96">
        <f t="shared" si="39"/>
        <v>0</v>
      </c>
      <c r="AJ14" s="97">
        <f t="shared" si="25"/>
        <v>0</v>
      </c>
      <c r="AK14" s="98">
        <f t="shared" si="5"/>
        <v>0</v>
      </c>
      <c r="AL14" s="98">
        <f t="shared" si="5"/>
        <v>0</v>
      </c>
      <c r="AM14" s="98">
        <f t="shared" si="5"/>
        <v>0</v>
      </c>
      <c r="AP14" s="99">
        <v>1</v>
      </c>
      <c r="AR14" s="100">
        <f t="shared" si="6"/>
        <v>0</v>
      </c>
      <c r="AS14" s="101">
        <f t="shared" si="7"/>
        <v>0</v>
      </c>
      <c r="AT14" s="102">
        <f t="shared" si="8"/>
        <v>0</v>
      </c>
      <c r="AU14" s="100">
        <f t="shared" si="9"/>
        <v>0</v>
      </c>
      <c r="AV14" s="103">
        <v>0.8</v>
      </c>
      <c r="AW14" s="104">
        <f t="shared" si="26"/>
        <v>0.41600000000000004</v>
      </c>
      <c r="AX14" s="105">
        <v>0.1</v>
      </c>
      <c r="AY14" s="105">
        <f t="shared" si="27"/>
        <v>0.24038461538461536</v>
      </c>
      <c r="AZ14" s="106">
        <f t="shared" si="10"/>
        <v>0</v>
      </c>
      <c r="BA14" s="106" t="e">
        <f t="shared" si="28"/>
        <v>#DIV/0!</v>
      </c>
      <c r="BB14" s="107">
        <f t="shared" si="29"/>
        <v>0</v>
      </c>
      <c r="BC14" s="108">
        <v>2</v>
      </c>
      <c r="BD14" s="109">
        <f t="shared" si="11"/>
        <v>0</v>
      </c>
      <c r="BE14" s="108">
        <v>4</v>
      </c>
      <c r="BF14" s="109">
        <f t="shared" si="30"/>
        <v>0</v>
      </c>
      <c r="BG14" s="109">
        <f t="shared" si="31"/>
        <v>0</v>
      </c>
      <c r="BH14" s="128">
        <v>0.199</v>
      </c>
      <c r="BI14" s="128">
        <v>0.604</v>
      </c>
      <c r="BJ14" s="111">
        <f t="shared" si="32"/>
        <v>0.40499999999999997</v>
      </c>
      <c r="BK14" s="112">
        <f t="shared" si="33"/>
        <v>0</v>
      </c>
      <c r="BL14" s="112">
        <f t="shared" si="33"/>
        <v>0</v>
      </c>
      <c r="BM14" s="113">
        <f t="shared" si="33"/>
        <v>0</v>
      </c>
      <c r="BN14" s="114">
        <f t="shared" si="34"/>
        <v>0</v>
      </c>
      <c r="BO14" s="114">
        <f t="shared" si="34"/>
        <v>0</v>
      </c>
      <c r="BP14" s="113">
        <f t="shared" si="34"/>
        <v>0</v>
      </c>
      <c r="BQ14" s="113">
        <f t="shared" si="12"/>
        <v>0</v>
      </c>
      <c r="BR14" s="115">
        <f t="shared" si="13"/>
        <v>0</v>
      </c>
      <c r="BS14" s="115">
        <f t="shared" si="14"/>
        <v>0</v>
      </c>
      <c r="BT14" s="115">
        <f t="shared" si="35"/>
        <v>0</v>
      </c>
      <c r="BU14" s="116">
        <f t="shared" si="15"/>
        <v>0</v>
      </c>
      <c r="BV14" s="119">
        <v>16</v>
      </c>
      <c r="BW14" s="119">
        <v>8</v>
      </c>
      <c r="BX14" s="119">
        <v>5.4</v>
      </c>
      <c r="BY14" s="119">
        <v>9</v>
      </c>
      <c r="BZ14" s="119">
        <v>2.5</v>
      </c>
      <c r="CA14" s="119">
        <v>19.3</v>
      </c>
      <c r="CB14" s="100">
        <f t="shared" si="16"/>
        <v>0</v>
      </c>
      <c r="CC14" s="100">
        <f t="shared" si="17"/>
        <v>0</v>
      </c>
      <c r="CD14" s="100">
        <f t="shared" si="18"/>
        <v>0</v>
      </c>
      <c r="CE14" s="100">
        <f t="shared" si="36"/>
        <v>0</v>
      </c>
      <c r="CF14" s="100">
        <f t="shared" si="36"/>
        <v>0</v>
      </c>
      <c r="CG14" s="100">
        <f t="shared" si="36"/>
        <v>0</v>
      </c>
      <c r="CH14" s="117">
        <f t="shared" si="19"/>
        <v>25</v>
      </c>
      <c r="CI14" s="117">
        <f t="shared" si="19"/>
        <v>10.5</v>
      </c>
      <c r="CJ14" s="118">
        <f t="shared" si="19"/>
        <v>24.700000000000003</v>
      </c>
      <c r="CK14" s="119"/>
      <c r="CL14" s="120"/>
      <c r="CM14" s="137">
        <v>-3.2</v>
      </c>
      <c r="CN14" s="138">
        <f t="shared" si="20"/>
        <v>0</v>
      </c>
      <c r="CO14" s="139">
        <f t="shared" si="37"/>
        <v>0</v>
      </c>
      <c r="CQ14" s="85">
        <v>-560</v>
      </c>
      <c r="CR14" s="124">
        <f t="shared" si="21"/>
        <v>0</v>
      </c>
      <c r="CT14" s="119">
        <v>1.1</v>
      </c>
      <c r="CU14" s="119">
        <f t="shared" si="38"/>
        <v>4.697</v>
      </c>
      <c r="CV14" s="120">
        <f t="shared" si="22"/>
        <v>0</v>
      </c>
      <c r="CW14" s="119"/>
      <c r="CX14" s="119"/>
    </row>
    <row r="15" spans="1:102" s="85" customFormat="1" ht="18" customHeight="1">
      <c r="A15" s="125" t="s">
        <v>274</v>
      </c>
      <c r="B15" s="126"/>
      <c r="C15" s="365"/>
      <c r="D15" s="358">
        <v>1.45</v>
      </c>
      <c r="E15" s="78"/>
      <c r="F15" s="79">
        <f t="shared" si="0"/>
        <v>0</v>
      </c>
      <c r="G15" s="418">
        <f t="shared" si="23"/>
      </c>
      <c r="H15" s="438" t="s">
        <v>89</v>
      </c>
      <c r="I15" s="81"/>
      <c r="J15" s="82"/>
      <c r="K15" s="533">
        <f t="shared" si="1"/>
      </c>
      <c r="L15" s="533"/>
      <c r="M15" s="533"/>
      <c r="N15" s="533"/>
      <c r="O15" s="40"/>
      <c r="P15" s="40"/>
      <c r="Q15" s="40"/>
      <c r="R15" s="84"/>
      <c r="V15" s="373">
        <f t="shared" si="2"/>
        <v>0</v>
      </c>
      <c r="Z15" s="89">
        <v>0.21</v>
      </c>
      <c r="AA15" s="90">
        <v>0.78</v>
      </c>
      <c r="AB15" s="91">
        <f t="shared" si="3"/>
        <v>0.1638</v>
      </c>
      <c r="AC15" s="92">
        <f t="shared" si="4"/>
        <v>0.085176</v>
      </c>
      <c r="AD15" s="93">
        <v>0.033</v>
      </c>
      <c r="AE15" s="94">
        <f t="shared" si="24"/>
        <v>0.38743307974077207</v>
      </c>
      <c r="AF15" s="95">
        <v>4.2</v>
      </c>
      <c r="AG15" s="95">
        <v>1.7</v>
      </c>
      <c r="AH15" s="95">
        <v>2.5</v>
      </c>
      <c r="AI15" s="96">
        <f t="shared" si="39"/>
        <v>0</v>
      </c>
      <c r="AJ15" s="97">
        <f t="shared" si="25"/>
        <v>0</v>
      </c>
      <c r="AK15" s="98">
        <f t="shared" si="5"/>
        <v>0</v>
      </c>
      <c r="AL15" s="98">
        <f t="shared" si="5"/>
        <v>0</v>
      </c>
      <c r="AM15" s="98">
        <f t="shared" si="5"/>
        <v>0</v>
      </c>
      <c r="AP15" s="99">
        <v>1</v>
      </c>
      <c r="AR15" s="100">
        <f t="shared" si="6"/>
        <v>0</v>
      </c>
      <c r="AS15" s="101">
        <f t="shared" si="7"/>
        <v>0</v>
      </c>
      <c r="AT15" s="102">
        <f t="shared" si="8"/>
        <v>0</v>
      </c>
      <c r="AU15" s="100">
        <f t="shared" si="9"/>
        <v>0</v>
      </c>
      <c r="AV15" s="103">
        <v>0.8</v>
      </c>
      <c r="AW15" s="104">
        <f t="shared" si="26"/>
        <v>0.41600000000000004</v>
      </c>
      <c r="AX15" s="105">
        <v>0.1</v>
      </c>
      <c r="AY15" s="105">
        <f t="shared" si="27"/>
        <v>0.24038461538461536</v>
      </c>
      <c r="AZ15" s="106">
        <f t="shared" si="10"/>
        <v>0</v>
      </c>
      <c r="BA15" s="106" t="e">
        <f t="shared" si="28"/>
        <v>#DIV/0!</v>
      </c>
      <c r="BB15" s="107">
        <f t="shared" si="29"/>
        <v>0</v>
      </c>
      <c r="BC15" s="108">
        <v>2</v>
      </c>
      <c r="BD15" s="109">
        <f t="shared" si="11"/>
        <v>0</v>
      </c>
      <c r="BE15" s="108">
        <v>3</v>
      </c>
      <c r="BF15" s="109">
        <f t="shared" si="30"/>
        <v>0</v>
      </c>
      <c r="BG15" s="109">
        <f t="shared" si="31"/>
        <v>0</v>
      </c>
      <c r="BH15" s="131">
        <v>0.531</v>
      </c>
      <c r="BI15" s="131">
        <v>0.757</v>
      </c>
      <c r="BJ15" s="111">
        <f t="shared" si="32"/>
        <v>0.22599999999999998</v>
      </c>
      <c r="BK15" s="112">
        <f t="shared" si="33"/>
        <v>0</v>
      </c>
      <c r="BL15" s="112">
        <f t="shared" si="33"/>
        <v>0</v>
      </c>
      <c r="BM15" s="113">
        <f t="shared" si="33"/>
        <v>0</v>
      </c>
      <c r="BN15" s="114">
        <f t="shared" si="34"/>
        <v>0</v>
      </c>
      <c r="BO15" s="114">
        <f t="shared" si="34"/>
        <v>0</v>
      </c>
      <c r="BP15" s="113">
        <f t="shared" si="34"/>
        <v>0</v>
      </c>
      <c r="BQ15" s="113">
        <f t="shared" si="12"/>
        <v>0</v>
      </c>
      <c r="BR15" s="115">
        <f t="shared" si="13"/>
        <v>0</v>
      </c>
      <c r="BS15" s="115">
        <f t="shared" si="14"/>
        <v>0</v>
      </c>
      <c r="BT15" s="115">
        <f t="shared" si="35"/>
        <v>0</v>
      </c>
      <c r="BU15" s="116">
        <f t="shared" si="15"/>
        <v>0</v>
      </c>
      <c r="BV15" s="119">
        <v>20.5</v>
      </c>
      <c r="BW15" s="119">
        <v>7.6</v>
      </c>
      <c r="BX15" s="119">
        <v>7.8</v>
      </c>
      <c r="BY15" s="119">
        <v>10.6</v>
      </c>
      <c r="BZ15" s="119">
        <v>6.6</v>
      </c>
      <c r="CA15" s="119">
        <v>23.1</v>
      </c>
      <c r="CB15" s="100">
        <f t="shared" si="16"/>
        <v>0</v>
      </c>
      <c r="CC15" s="100">
        <f t="shared" si="17"/>
        <v>0</v>
      </c>
      <c r="CD15" s="100">
        <f t="shared" si="18"/>
        <v>0</v>
      </c>
      <c r="CE15" s="100">
        <f t="shared" si="36"/>
        <v>0</v>
      </c>
      <c r="CF15" s="100">
        <f t="shared" si="36"/>
        <v>0</v>
      </c>
      <c r="CG15" s="100">
        <f t="shared" si="36"/>
        <v>0</v>
      </c>
      <c r="CH15" s="117">
        <f t="shared" si="19"/>
        <v>31.1</v>
      </c>
      <c r="CI15" s="117">
        <f t="shared" si="19"/>
        <v>14.2</v>
      </c>
      <c r="CJ15" s="118">
        <f t="shared" si="19"/>
        <v>30.900000000000002</v>
      </c>
      <c r="CK15" s="119"/>
      <c r="CL15" s="120"/>
      <c r="CM15" s="121">
        <v>-1.9</v>
      </c>
      <c r="CN15" s="122">
        <f t="shared" si="20"/>
        <v>0</v>
      </c>
      <c r="CO15" s="123">
        <f t="shared" si="37"/>
        <v>0</v>
      </c>
      <c r="CQ15" s="85">
        <v>-280</v>
      </c>
      <c r="CR15" s="124">
        <f t="shared" si="21"/>
        <v>0</v>
      </c>
      <c r="CT15" s="119">
        <v>1</v>
      </c>
      <c r="CU15" s="119">
        <f t="shared" si="38"/>
        <v>4.27</v>
      </c>
      <c r="CV15" s="120">
        <f t="shared" si="22"/>
        <v>0</v>
      </c>
      <c r="CW15" s="119"/>
      <c r="CX15" s="119"/>
    </row>
    <row r="16" spans="1:102" s="85" customFormat="1" ht="18" customHeight="1">
      <c r="A16" s="420" t="s">
        <v>90</v>
      </c>
      <c r="B16" s="140"/>
      <c r="C16" s="365"/>
      <c r="D16" s="358">
        <v>2.5097401953528613</v>
      </c>
      <c r="E16" s="78"/>
      <c r="F16" s="79">
        <f t="shared" si="0"/>
        <v>0</v>
      </c>
      <c r="G16" s="418">
        <f t="shared" si="23"/>
      </c>
      <c r="H16" s="437" t="s">
        <v>91</v>
      </c>
      <c r="I16" s="81"/>
      <c r="J16" s="82"/>
      <c r="K16" s="533">
        <f t="shared" si="1"/>
      </c>
      <c r="L16" s="533"/>
      <c r="M16" s="533"/>
      <c r="N16" s="533"/>
      <c r="O16" s="40"/>
      <c r="P16" s="40"/>
      <c r="Q16" s="40"/>
      <c r="R16" s="84"/>
      <c r="V16" s="373">
        <f t="shared" si="2"/>
        <v>0</v>
      </c>
      <c r="Z16" s="89">
        <v>0.053</v>
      </c>
      <c r="AA16" s="90">
        <v>0.8</v>
      </c>
      <c r="AB16" s="91">
        <f t="shared" si="3"/>
        <v>0.0424</v>
      </c>
      <c r="AC16" s="92">
        <f t="shared" si="4"/>
        <v>0.022048</v>
      </c>
      <c r="AD16" s="93">
        <v>0.006</v>
      </c>
      <c r="AE16" s="94">
        <f t="shared" si="24"/>
        <v>0.27213352685050796</v>
      </c>
      <c r="AF16" s="95">
        <v>4.3</v>
      </c>
      <c r="AG16" s="95">
        <v>3</v>
      </c>
      <c r="AH16" s="95">
        <v>2.1</v>
      </c>
      <c r="AI16" s="96">
        <f t="shared" si="39"/>
        <v>0</v>
      </c>
      <c r="AJ16" s="97">
        <f t="shared" si="25"/>
        <v>0</v>
      </c>
      <c r="AK16" s="98">
        <f>$I16*AF16</f>
        <v>0</v>
      </c>
      <c r="AL16" s="98">
        <f>$I16*AG16</f>
        <v>0</v>
      </c>
      <c r="AM16" s="98">
        <f>$I16*AH16</f>
        <v>0</v>
      </c>
      <c r="AP16" s="99">
        <v>1</v>
      </c>
      <c r="AR16" s="100">
        <f t="shared" si="6"/>
        <v>0</v>
      </c>
      <c r="AS16" s="101">
        <f t="shared" si="7"/>
        <v>0</v>
      </c>
      <c r="AT16" s="102">
        <f t="shared" si="8"/>
        <v>0</v>
      </c>
      <c r="AU16" s="100">
        <f t="shared" si="9"/>
        <v>0</v>
      </c>
      <c r="AV16" s="103">
        <v>0.8</v>
      </c>
      <c r="AW16" s="104">
        <f t="shared" si="26"/>
        <v>0.41600000000000004</v>
      </c>
      <c r="AX16" s="141"/>
      <c r="AY16" s="105">
        <f t="shared" si="27"/>
        <v>0</v>
      </c>
      <c r="AZ16" s="106">
        <f t="shared" si="10"/>
        <v>0</v>
      </c>
      <c r="BA16" s="106" t="e">
        <f t="shared" si="28"/>
        <v>#DIV/0!</v>
      </c>
      <c r="BB16" s="142"/>
      <c r="BC16" s="143">
        <v>1.5</v>
      </c>
      <c r="BD16" s="109">
        <f t="shared" si="11"/>
        <v>0</v>
      </c>
      <c r="BE16" s="143">
        <v>4</v>
      </c>
      <c r="BF16" s="109">
        <f t="shared" si="30"/>
        <v>0</v>
      </c>
      <c r="BG16" s="109">
        <f t="shared" si="31"/>
        <v>0</v>
      </c>
      <c r="BH16" s="128">
        <v>0.537</v>
      </c>
      <c r="BI16" s="128">
        <v>1.65</v>
      </c>
      <c r="BJ16" s="144">
        <f t="shared" si="32"/>
        <v>1.113</v>
      </c>
      <c r="BK16" s="112">
        <f t="shared" si="33"/>
        <v>0</v>
      </c>
      <c r="BL16" s="112">
        <f t="shared" si="33"/>
        <v>0</v>
      </c>
      <c r="BM16" s="114">
        <f t="shared" si="33"/>
        <v>0</v>
      </c>
      <c r="BN16" s="114">
        <f t="shared" si="34"/>
        <v>0</v>
      </c>
      <c r="BO16" s="114">
        <f t="shared" si="34"/>
        <v>0</v>
      </c>
      <c r="BP16" s="114">
        <f t="shared" si="34"/>
        <v>0</v>
      </c>
      <c r="BQ16" s="114">
        <f t="shared" si="12"/>
        <v>0</v>
      </c>
      <c r="BR16" s="115">
        <f t="shared" si="13"/>
        <v>0</v>
      </c>
      <c r="BS16" s="115">
        <f t="shared" si="14"/>
        <v>0</v>
      </c>
      <c r="BT16" s="115">
        <f t="shared" si="35"/>
        <v>0</v>
      </c>
      <c r="BU16" s="145"/>
      <c r="BV16" s="119">
        <v>35.5</v>
      </c>
      <c r="BW16" s="119">
        <v>8.3</v>
      </c>
      <c r="BX16" s="119">
        <v>10</v>
      </c>
      <c r="BY16" s="119">
        <v>15</v>
      </c>
      <c r="BZ16" s="119">
        <v>3.4</v>
      </c>
      <c r="CA16" s="119">
        <v>18.1</v>
      </c>
      <c r="CB16" s="100">
        <f t="shared" si="16"/>
        <v>0</v>
      </c>
      <c r="CC16" s="100">
        <f t="shared" si="17"/>
        <v>0</v>
      </c>
      <c r="CD16" s="100">
        <f t="shared" si="18"/>
        <v>0</v>
      </c>
      <c r="CE16" s="100">
        <f t="shared" si="36"/>
        <v>0</v>
      </c>
      <c r="CF16" s="100">
        <f t="shared" si="36"/>
        <v>0</v>
      </c>
      <c r="CG16" s="100">
        <f t="shared" si="36"/>
        <v>0</v>
      </c>
      <c r="CH16" s="117">
        <f t="shared" si="19"/>
        <v>50.5</v>
      </c>
      <c r="CI16" s="117">
        <f t="shared" si="19"/>
        <v>11.700000000000001</v>
      </c>
      <c r="CJ16" s="118">
        <f t="shared" si="19"/>
        <v>28.1</v>
      </c>
      <c r="CK16" s="119">
        <v>80</v>
      </c>
      <c r="CL16" s="120">
        <f aca="true" t="shared" si="40" ref="CL16:CL42">B16*CK16</f>
        <v>0</v>
      </c>
      <c r="CM16" s="121">
        <v>-1.9</v>
      </c>
      <c r="CN16" s="122">
        <f t="shared" si="20"/>
        <v>0</v>
      </c>
      <c r="CO16" s="123">
        <f t="shared" si="37"/>
        <v>0</v>
      </c>
      <c r="CQ16" s="85">
        <v>160</v>
      </c>
      <c r="CR16" s="124">
        <f t="shared" si="21"/>
        <v>0</v>
      </c>
      <c r="CT16" s="119">
        <v>1</v>
      </c>
      <c r="CU16" s="119">
        <f t="shared" si="38"/>
        <v>4.27</v>
      </c>
      <c r="CV16" s="120">
        <f t="shared" si="22"/>
        <v>0</v>
      </c>
      <c r="CW16" s="119"/>
      <c r="CX16" s="119"/>
    </row>
    <row r="17" spans="1:102" s="85" customFormat="1" ht="18" customHeight="1">
      <c r="A17" s="125" t="s">
        <v>92</v>
      </c>
      <c r="B17" s="140"/>
      <c r="C17" s="365"/>
      <c r="D17" s="358">
        <v>1.521046192507357</v>
      </c>
      <c r="E17" s="78"/>
      <c r="F17" s="79">
        <f t="shared" si="0"/>
        <v>0</v>
      </c>
      <c r="G17" s="418">
        <f t="shared" si="23"/>
      </c>
      <c r="H17" s="438" t="s">
        <v>93</v>
      </c>
      <c r="I17" s="81"/>
      <c r="J17" s="82"/>
      <c r="K17" s="533">
        <f t="shared" si="1"/>
      </c>
      <c r="L17" s="533"/>
      <c r="M17" s="533"/>
      <c r="N17" s="533"/>
      <c r="O17" s="40"/>
      <c r="P17" s="40"/>
      <c r="Q17" s="40"/>
      <c r="R17" s="84"/>
      <c r="V17" s="373">
        <f t="shared" si="2"/>
        <v>0</v>
      </c>
      <c r="Z17" s="89">
        <v>0.034</v>
      </c>
      <c r="AA17" s="90">
        <v>0.8</v>
      </c>
      <c r="AB17" s="91">
        <f t="shared" si="3"/>
        <v>0.027200000000000002</v>
      </c>
      <c r="AC17" s="92">
        <f t="shared" si="4"/>
        <v>0.014144000000000002</v>
      </c>
      <c r="AD17" s="93">
        <v>0.004</v>
      </c>
      <c r="AE17" s="94">
        <f t="shared" si="24"/>
        <v>0.28280542986425333</v>
      </c>
      <c r="AF17" s="95">
        <v>4.1</v>
      </c>
      <c r="AG17" s="95">
        <v>2.4</v>
      </c>
      <c r="AH17" s="95">
        <v>2</v>
      </c>
      <c r="AI17" s="96">
        <f t="shared" si="39"/>
        <v>0</v>
      </c>
      <c r="AJ17" s="97">
        <f t="shared" si="25"/>
        <v>0</v>
      </c>
      <c r="AK17" s="98">
        <f t="shared" si="5"/>
        <v>0</v>
      </c>
      <c r="AL17" s="98">
        <f t="shared" si="5"/>
        <v>0</v>
      </c>
      <c r="AM17" s="98">
        <f t="shared" si="5"/>
        <v>0</v>
      </c>
      <c r="AP17" s="99">
        <v>1</v>
      </c>
      <c r="AR17" s="100">
        <f t="shared" si="6"/>
        <v>0</v>
      </c>
      <c r="AS17" s="101">
        <f t="shared" si="7"/>
        <v>0</v>
      </c>
      <c r="AT17" s="102">
        <f t="shared" si="8"/>
        <v>0</v>
      </c>
      <c r="AU17" s="100">
        <f t="shared" si="9"/>
        <v>0</v>
      </c>
      <c r="AV17" s="103">
        <v>0.8</v>
      </c>
      <c r="AW17" s="104">
        <f t="shared" si="26"/>
        <v>0.41600000000000004</v>
      </c>
      <c r="AX17" s="141"/>
      <c r="AY17" s="105">
        <f t="shared" si="27"/>
        <v>0</v>
      </c>
      <c r="AZ17" s="106">
        <f t="shared" si="10"/>
        <v>0</v>
      </c>
      <c r="BA17" s="106" t="e">
        <f t="shared" si="28"/>
        <v>#DIV/0!</v>
      </c>
      <c r="BB17" s="142"/>
      <c r="BC17" s="143">
        <v>1.5</v>
      </c>
      <c r="BD17" s="109">
        <f t="shared" si="11"/>
        <v>0</v>
      </c>
      <c r="BE17" s="143">
        <v>4</v>
      </c>
      <c r="BF17" s="109">
        <f t="shared" si="30"/>
        <v>0</v>
      </c>
      <c r="BG17" s="109">
        <f t="shared" si="31"/>
        <v>0</v>
      </c>
      <c r="BH17" s="131"/>
      <c r="BI17" s="131">
        <v>2.833</v>
      </c>
      <c r="BJ17" s="144">
        <f t="shared" si="32"/>
        <v>2.833</v>
      </c>
      <c r="BK17" s="112">
        <f t="shared" si="33"/>
        <v>0</v>
      </c>
      <c r="BL17" s="112">
        <f t="shared" si="33"/>
        <v>0</v>
      </c>
      <c r="BM17" s="114">
        <f t="shared" si="33"/>
        <v>0</v>
      </c>
      <c r="BN17" s="114">
        <f t="shared" si="34"/>
        <v>0</v>
      </c>
      <c r="BO17" s="114">
        <f t="shared" si="34"/>
        <v>0</v>
      </c>
      <c r="BP17" s="114">
        <f t="shared" si="34"/>
        <v>0</v>
      </c>
      <c r="BQ17" s="114">
        <f t="shared" si="12"/>
        <v>0</v>
      </c>
      <c r="BR17" s="115">
        <f t="shared" si="13"/>
        <v>0</v>
      </c>
      <c r="BS17" s="115">
        <f t="shared" si="14"/>
        <v>0</v>
      </c>
      <c r="BT17" s="115">
        <f t="shared" si="35"/>
        <v>0</v>
      </c>
      <c r="BU17" s="145"/>
      <c r="BV17" s="119">
        <v>55</v>
      </c>
      <c r="BW17" s="119">
        <v>15.8</v>
      </c>
      <c r="BX17" s="119">
        <v>15.5</v>
      </c>
      <c r="BY17" s="119">
        <v>12</v>
      </c>
      <c r="BZ17" s="119">
        <v>3.7</v>
      </c>
      <c r="CA17" s="119">
        <v>18.5</v>
      </c>
      <c r="CB17" s="100">
        <f t="shared" si="16"/>
        <v>0</v>
      </c>
      <c r="CC17" s="100">
        <f t="shared" si="17"/>
        <v>0</v>
      </c>
      <c r="CD17" s="100">
        <f t="shared" si="18"/>
        <v>0</v>
      </c>
      <c r="CE17" s="100">
        <f t="shared" si="36"/>
        <v>0</v>
      </c>
      <c r="CF17" s="100">
        <f t="shared" si="36"/>
        <v>0</v>
      </c>
      <c r="CG17" s="100">
        <f t="shared" si="36"/>
        <v>0</v>
      </c>
      <c r="CH17" s="117">
        <f t="shared" si="19"/>
        <v>67</v>
      </c>
      <c r="CI17" s="117">
        <f t="shared" si="19"/>
        <v>19.5</v>
      </c>
      <c r="CJ17" s="118">
        <f t="shared" si="19"/>
        <v>34</v>
      </c>
      <c r="CK17" s="119">
        <v>80</v>
      </c>
      <c r="CL17" s="120">
        <f t="shared" si="40"/>
        <v>0</v>
      </c>
      <c r="CM17" s="121">
        <v>-1.9</v>
      </c>
      <c r="CN17" s="122">
        <f t="shared" si="20"/>
        <v>0</v>
      </c>
      <c r="CO17" s="123">
        <f t="shared" si="37"/>
        <v>0</v>
      </c>
      <c r="CQ17" s="85">
        <v>160</v>
      </c>
      <c r="CR17" s="124">
        <f t="shared" si="21"/>
        <v>0</v>
      </c>
      <c r="CT17" s="119">
        <v>1</v>
      </c>
      <c r="CU17" s="119">
        <f t="shared" si="38"/>
        <v>4.27</v>
      </c>
      <c r="CV17" s="120">
        <f t="shared" si="22"/>
        <v>0</v>
      </c>
      <c r="CW17" s="119"/>
      <c r="CX17" s="119"/>
    </row>
    <row r="18" spans="1:102" s="85" customFormat="1" ht="18" customHeight="1">
      <c r="A18" s="125" t="s">
        <v>171</v>
      </c>
      <c r="B18" s="140"/>
      <c r="C18" s="365"/>
      <c r="D18" s="358">
        <v>1.756155575526821</v>
      </c>
      <c r="E18" s="78"/>
      <c r="F18" s="79">
        <f t="shared" si="0"/>
        <v>0</v>
      </c>
      <c r="G18" s="418">
        <f t="shared" si="23"/>
      </c>
      <c r="H18" s="438" t="s">
        <v>94</v>
      </c>
      <c r="I18" s="81"/>
      <c r="J18" s="82"/>
      <c r="K18" s="533">
        <f t="shared" si="1"/>
      </c>
      <c r="L18" s="533"/>
      <c r="M18" s="533"/>
      <c r="N18" s="533"/>
      <c r="O18" s="40"/>
      <c r="P18" s="40"/>
      <c r="Q18" s="40"/>
      <c r="R18" s="84"/>
      <c r="V18" s="373">
        <f t="shared" si="2"/>
        <v>0</v>
      </c>
      <c r="Z18" s="89">
        <v>0.27</v>
      </c>
      <c r="AA18" s="90">
        <v>0.8</v>
      </c>
      <c r="AB18" s="91">
        <f t="shared" si="3"/>
        <v>0.21600000000000003</v>
      </c>
      <c r="AC18" s="92">
        <f t="shared" si="4"/>
        <v>0.11232000000000002</v>
      </c>
      <c r="AD18" s="93">
        <v>0.04</v>
      </c>
      <c r="AE18" s="94">
        <f t="shared" si="24"/>
        <v>0.35612535612535606</v>
      </c>
      <c r="AF18" s="95">
        <v>6.6</v>
      </c>
      <c r="AG18" s="95">
        <v>9.7</v>
      </c>
      <c r="AH18" s="95">
        <v>2.9</v>
      </c>
      <c r="AI18" s="96">
        <f t="shared" si="39"/>
        <v>0</v>
      </c>
      <c r="AJ18" s="97">
        <f t="shared" si="25"/>
        <v>0</v>
      </c>
      <c r="AK18" s="98">
        <f>$I18*AF18</f>
        <v>0</v>
      </c>
      <c r="AL18" s="98">
        <f>$I18*AG18</f>
        <v>0</v>
      </c>
      <c r="AM18" s="98">
        <f>$I18*AH18</f>
        <v>0</v>
      </c>
      <c r="AP18" s="99">
        <v>1</v>
      </c>
      <c r="AR18" s="100">
        <f t="shared" si="6"/>
        <v>0</v>
      </c>
      <c r="AS18" s="101">
        <f t="shared" si="7"/>
        <v>0</v>
      </c>
      <c r="AT18" s="102">
        <f t="shared" si="8"/>
        <v>0</v>
      </c>
      <c r="AU18" s="100">
        <f t="shared" si="9"/>
        <v>0</v>
      </c>
      <c r="AV18" s="103">
        <v>0.8</v>
      </c>
      <c r="AW18" s="104">
        <f t="shared" si="26"/>
        <v>0.41600000000000004</v>
      </c>
      <c r="AX18" s="141"/>
      <c r="AY18" s="105">
        <f t="shared" si="27"/>
        <v>0</v>
      </c>
      <c r="AZ18" s="106">
        <f t="shared" si="10"/>
        <v>0</v>
      </c>
      <c r="BA18" s="106" t="e">
        <f t="shared" si="28"/>
        <v>#DIV/0!</v>
      </c>
      <c r="BB18" s="142"/>
      <c r="BC18" s="143">
        <v>1.5</v>
      </c>
      <c r="BD18" s="109">
        <f t="shared" si="11"/>
        <v>0</v>
      </c>
      <c r="BE18" s="143">
        <v>4</v>
      </c>
      <c r="BF18" s="109">
        <f t="shared" si="30"/>
        <v>0</v>
      </c>
      <c r="BG18" s="109">
        <f t="shared" si="31"/>
        <v>0</v>
      </c>
      <c r="BH18" s="131"/>
      <c r="BI18" s="131">
        <v>2.391</v>
      </c>
      <c r="BJ18" s="144">
        <f t="shared" si="32"/>
        <v>2.391</v>
      </c>
      <c r="BK18" s="112">
        <f t="shared" si="33"/>
        <v>0</v>
      </c>
      <c r="BL18" s="112">
        <f t="shared" si="33"/>
        <v>0</v>
      </c>
      <c r="BM18" s="114">
        <f t="shared" si="33"/>
        <v>0</v>
      </c>
      <c r="BN18" s="114">
        <f t="shared" si="34"/>
        <v>0</v>
      </c>
      <c r="BO18" s="114">
        <f t="shared" si="34"/>
        <v>0</v>
      </c>
      <c r="BP18" s="114">
        <f t="shared" si="34"/>
        <v>0</v>
      </c>
      <c r="BQ18" s="114">
        <f t="shared" si="12"/>
        <v>0</v>
      </c>
      <c r="BR18" s="115">
        <f t="shared" si="13"/>
        <v>0</v>
      </c>
      <c r="BS18" s="115">
        <f t="shared" si="14"/>
        <v>0</v>
      </c>
      <c r="BT18" s="115">
        <f t="shared" si="35"/>
        <v>0</v>
      </c>
      <c r="BU18" s="145"/>
      <c r="BV18" s="119">
        <v>54</v>
      </c>
      <c r="BW18" s="119">
        <v>16.5</v>
      </c>
      <c r="BX18" s="119">
        <v>22.5</v>
      </c>
      <c r="BY18" s="119">
        <v>10</v>
      </c>
      <c r="BZ18" s="119">
        <v>3</v>
      </c>
      <c r="CA18" s="119">
        <v>11.4</v>
      </c>
      <c r="CB18" s="100">
        <f t="shared" si="16"/>
        <v>0</v>
      </c>
      <c r="CC18" s="100">
        <f t="shared" si="17"/>
        <v>0</v>
      </c>
      <c r="CD18" s="100">
        <f t="shared" si="18"/>
        <v>0</v>
      </c>
      <c r="CE18" s="100">
        <f t="shared" si="36"/>
        <v>0</v>
      </c>
      <c r="CF18" s="100">
        <f t="shared" si="36"/>
        <v>0</v>
      </c>
      <c r="CG18" s="100">
        <f t="shared" si="36"/>
        <v>0</v>
      </c>
      <c r="CH18" s="117">
        <f t="shared" si="19"/>
        <v>64</v>
      </c>
      <c r="CI18" s="117">
        <f t="shared" si="19"/>
        <v>19.5</v>
      </c>
      <c r="CJ18" s="118">
        <f t="shared" si="19"/>
        <v>33.9</v>
      </c>
      <c r="CK18" s="119">
        <v>80</v>
      </c>
      <c r="CL18" s="120">
        <f t="shared" si="40"/>
        <v>0</v>
      </c>
      <c r="CM18" s="121">
        <v>-1.9</v>
      </c>
      <c r="CN18" s="122">
        <f t="shared" si="20"/>
        <v>0</v>
      </c>
      <c r="CO18" s="123">
        <f t="shared" si="37"/>
        <v>0</v>
      </c>
      <c r="CP18" s="146">
        <f>(SUM(CN7:CN18))+(SUM(CN25:CN34))-CN14</f>
        <v>0</v>
      </c>
      <c r="CQ18" s="85">
        <v>160</v>
      </c>
      <c r="CR18" s="124">
        <f t="shared" si="21"/>
        <v>0</v>
      </c>
      <c r="CT18" s="119">
        <v>1</v>
      </c>
      <c r="CU18" s="119">
        <f t="shared" si="38"/>
        <v>4.27</v>
      </c>
      <c r="CV18" s="120">
        <f t="shared" si="22"/>
        <v>0</v>
      </c>
      <c r="CW18" s="119"/>
      <c r="CX18" s="119"/>
    </row>
    <row r="19" spans="1:102" s="85" customFormat="1" ht="18" customHeight="1">
      <c r="A19" s="125" t="s">
        <v>172</v>
      </c>
      <c r="B19" s="140"/>
      <c r="C19" s="365"/>
      <c r="D19" s="358">
        <v>18.82910366855904</v>
      </c>
      <c r="E19" s="147"/>
      <c r="F19" s="148">
        <f t="shared" si="0"/>
        <v>0</v>
      </c>
      <c r="G19" s="418">
        <f t="shared" si="23"/>
      </c>
      <c r="H19" s="438" t="s">
        <v>95</v>
      </c>
      <c r="I19" s="81"/>
      <c r="J19" s="82"/>
      <c r="K19" s="533">
        <f t="shared" si="1"/>
      </c>
      <c r="L19" s="533"/>
      <c r="M19" s="533"/>
      <c r="N19" s="533"/>
      <c r="O19" s="40"/>
      <c r="P19" s="40"/>
      <c r="Q19" s="40"/>
      <c r="R19" s="84"/>
      <c r="V19" s="373">
        <f t="shared" si="2"/>
        <v>0</v>
      </c>
      <c r="Z19" s="89">
        <v>0.32</v>
      </c>
      <c r="AA19" s="90">
        <v>0.67</v>
      </c>
      <c r="AB19" s="91">
        <f t="shared" si="3"/>
        <v>0.2144</v>
      </c>
      <c r="AC19" s="92">
        <f t="shared" si="4"/>
        <v>0.111488</v>
      </c>
      <c r="AD19" s="93">
        <v>0.03</v>
      </c>
      <c r="AE19" s="94">
        <f t="shared" si="24"/>
        <v>0.2690872560275545</v>
      </c>
      <c r="AF19" s="95">
        <v>19</v>
      </c>
      <c r="AG19" s="95">
        <v>14.6</v>
      </c>
      <c r="AH19" s="95">
        <v>10.2</v>
      </c>
      <c r="AI19" s="96">
        <f t="shared" si="39"/>
        <v>0</v>
      </c>
      <c r="AJ19" s="97">
        <f t="shared" si="25"/>
        <v>0</v>
      </c>
      <c r="AK19" s="98">
        <f t="shared" si="5"/>
        <v>0</v>
      </c>
      <c r="AL19" s="98">
        <f t="shared" si="5"/>
        <v>0</v>
      </c>
      <c r="AM19" s="98">
        <f t="shared" si="5"/>
        <v>0</v>
      </c>
      <c r="AP19" s="149">
        <v>0.3</v>
      </c>
      <c r="AR19" s="150"/>
      <c r="AS19" s="151"/>
      <c r="AT19" s="152">
        <f t="shared" si="8"/>
        <v>0</v>
      </c>
      <c r="AU19" s="153">
        <f t="shared" si="9"/>
        <v>0</v>
      </c>
      <c r="AV19" s="154">
        <v>0.1</v>
      </c>
      <c r="AW19" s="155">
        <f t="shared" si="26"/>
        <v>0.052000000000000005</v>
      </c>
      <c r="AX19" s="141"/>
      <c r="AY19" s="105">
        <f t="shared" si="27"/>
        <v>0</v>
      </c>
      <c r="AZ19" s="152">
        <f t="shared" si="10"/>
        <v>0</v>
      </c>
      <c r="BA19" s="152" t="e">
        <f t="shared" si="28"/>
        <v>#DIV/0!</v>
      </c>
      <c r="BB19" s="142"/>
      <c r="BC19" s="143">
        <v>1</v>
      </c>
      <c r="BD19" s="109">
        <f t="shared" si="11"/>
        <v>0</v>
      </c>
      <c r="BE19" s="143"/>
      <c r="BF19" s="109">
        <f t="shared" si="30"/>
        <v>0</v>
      </c>
      <c r="BG19" s="109">
        <f t="shared" si="31"/>
        <v>0</v>
      </c>
      <c r="BH19" s="131"/>
      <c r="BI19" s="128">
        <v>0.0425</v>
      </c>
      <c r="BJ19" s="144">
        <f t="shared" si="32"/>
        <v>0.0425</v>
      </c>
      <c r="BK19" s="112">
        <f t="shared" si="33"/>
        <v>0</v>
      </c>
      <c r="BL19" s="112">
        <f t="shared" si="33"/>
        <v>0</v>
      </c>
      <c r="BM19" s="114">
        <f t="shared" si="33"/>
        <v>0</v>
      </c>
      <c r="BN19" s="114">
        <f t="shared" si="34"/>
        <v>0</v>
      </c>
      <c r="BO19" s="114">
        <f t="shared" si="34"/>
        <v>0</v>
      </c>
      <c r="BP19" s="114">
        <f t="shared" si="34"/>
        <v>0</v>
      </c>
      <c r="BQ19" s="114">
        <f t="shared" si="12"/>
        <v>0</v>
      </c>
      <c r="BR19" s="115">
        <f t="shared" si="13"/>
        <v>0</v>
      </c>
      <c r="BS19" s="115">
        <f t="shared" si="14"/>
        <v>0</v>
      </c>
      <c r="BT19" s="115">
        <f t="shared" si="35"/>
        <v>0</v>
      </c>
      <c r="BU19" s="145"/>
      <c r="BV19" s="119">
        <v>3</v>
      </c>
      <c r="BW19" s="119">
        <v>1.1</v>
      </c>
      <c r="BX19" s="119">
        <v>5.3</v>
      </c>
      <c r="BY19" s="119">
        <v>2.3</v>
      </c>
      <c r="BZ19" s="119">
        <v>0.5</v>
      </c>
      <c r="CA19" s="119">
        <v>3.4</v>
      </c>
      <c r="CB19" s="100">
        <f t="shared" si="16"/>
        <v>0</v>
      </c>
      <c r="CC19" s="100">
        <f t="shared" si="17"/>
        <v>0</v>
      </c>
      <c r="CD19" s="100">
        <f t="shared" si="18"/>
        <v>0</v>
      </c>
      <c r="CE19" s="100">
        <f t="shared" si="36"/>
        <v>0</v>
      </c>
      <c r="CF19" s="100">
        <f t="shared" si="36"/>
        <v>0</v>
      </c>
      <c r="CG19" s="100">
        <f t="shared" si="36"/>
        <v>0</v>
      </c>
      <c r="CH19" s="117">
        <f t="shared" si="19"/>
        <v>3.69</v>
      </c>
      <c r="CI19" s="117">
        <f t="shared" si="19"/>
        <v>1.25</v>
      </c>
      <c r="CJ19" s="118">
        <f t="shared" si="19"/>
        <v>6.32</v>
      </c>
      <c r="CK19" s="119"/>
      <c r="CL19" s="120">
        <f t="shared" si="40"/>
        <v>0</v>
      </c>
      <c r="CM19" s="137">
        <v>-3.2</v>
      </c>
      <c r="CN19" s="138">
        <f t="shared" si="20"/>
        <v>0</v>
      </c>
      <c r="CO19" s="139">
        <f t="shared" si="37"/>
        <v>0</v>
      </c>
      <c r="CP19" s="156"/>
      <c r="CQ19" s="85">
        <v>-760</v>
      </c>
      <c r="CR19" s="124">
        <f t="shared" si="21"/>
        <v>0</v>
      </c>
      <c r="CT19" s="119">
        <v>1.1</v>
      </c>
      <c r="CU19" s="119">
        <f t="shared" si="38"/>
        <v>4.697</v>
      </c>
      <c r="CV19" s="120">
        <f t="shared" si="22"/>
        <v>0</v>
      </c>
      <c r="CW19" s="119"/>
      <c r="CX19" s="119"/>
    </row>
    <row r="20" spans="1:102" s="85" customFormat="1" ht="18" customHeight="1">
      <c r="A20" s="420" t="s">
        <v>173</v>
      </c>
      <c r="B20" s="140"/>
      <c r="C20" s="365"/>
      <c r="D20" s="358">
        <v>30.806122124223734</v>
      </c>
      <c r="E20" s="147"/>
      <c r="F20" s="148">
        <f t="shared" si="0"/>
        <v>0</v>
      </c>
      <c r="G20" s="418">
        <f t="shared" si="23"/>
      </c>
      <c r="H20" s="438" t="s">
        <v>96</v>
      </c>
      <c r="I20" s="81"/>
      <c r="J20" s="82"/>
      <c r="K20" s="533">
        <f t="shared" si="1"/>
      </c>
      <c r="L20" s="533"/>
      <c r="M20" s="533"/>
      <c r="N20" s="533"/>
      <c r="O20" s="40"/>
      <c r="P20" s="40"/>
      <c r="Q20" s="40"/>
      <c r="R20" s="84"/>
      <c r="V20" s="373">
        <f t="shared" si="2"/>
        <v>0</v>
      </c>
      <c r="Z20" s="89">
        <v>0.73</v>
      </c>
      <c r="AA20" s="90">
        <v>0.63</v>
      </c>
      <c r="AB20" s="91">
        <f t="shared" si="3"/>
        <v>0.4599</v>
      </c>
      <c r="AC20" s="92">
        <f t="shared" si="4"/>
        <v>0.239148</v>
      </c>
      <c r="AD20" s="93">
        <v>0.064</v>
      </c>
      <c r="AE20" s="94">
        <f t="shared" si="24"/>
        <v>0.26761670597287035</v>
      </c>
      <c r="AF20" s="95">
        <v>35</v>
      </c>
      <c r="AG20" s="95">
        <v>33.3</v>
      </c>
      <c r="AH20" s="95">
        <v>23.2</v>
      </c>
      <c r="AI20" s="96">
        <f t="shared" si="39"/>
        <v>0</v>
      </c>
      <c r="AJ20" s="97">
        <f t="shared" si="25"/>
        <v>0</v>
      </c>
      <c r="AK20" s="98">
        <f t="shared" si="5"/>
        <v>0</v>
      </c>
      <c r="AL20" s="98">
        <f t="shared" si="5"/>
        <v>0</v>
      </c>
      <c r="AM20" s="98">
        <f t="shared" si="5"/>
        <v>0</v>
      </c>
      <c r="AP20" s="149">
        <v>0.2</v>
      </c>
      <c r="AR20" s="150"/>
      <c r="AS20" s="151"/>
      <c r="AT20" s="152">
        <f t="shared" si="8"/>
        <v>0</v>
      </c>
      <c r="AU20" s="153">
        <f t="shared" si="9"/>
        <v>0</v>
      </c>
      <c r="AV20" s="154">
        <v>0.1</v>
      </c>
      <c r="AW20" s="155">
        <f t="shared" si="26"/>
        <v>0.052000000000000005</v>
      </c>
      <c r="AX20" s="141"/>
      <c r="AY20" s="105">
        <f t="shared" si="27"/>
        <v>0</v>
      </c>
      <c r="AZ20" s="152">
        <f t="shared" si="10"/>
        <v>0</v>
      </c>
      <c r="BA20" s="152" t="e">
        <f t="shared" si="28"/>
        <v>#DIV/0!</v>
      </c>
      <c r="BB20" s="142"/>
      <c r="BC20" s="143">
        <v>1</v>
      </c>
      <c r="BD20" s="109">
        <f t="shared" si="11"/>
        <v>0</v>
      </c>
      <c r="BE20" s="143"/>
      <c r="BF20" s="109">
        <f t="shared" si="30"/>
        <v>0</v>
      </c>
      <c r="BG20" s="109">
        <f t="shared" si="31"/>
        <v>0</v>
      </c>
      <c r="BH20" s="131"/>
      <c r="BI20" s="128">
        <v>0.0295</v>
      </c>
      <c r="BJ20" s="144">
        <f t="shared" si="32"/>
        <v>0.0295</v>
      </c>
      <c r="BK20" s="112">
        <f t="shared" si="33"/>
        <v>0</v>
      </c>
      <c r="BL20" s="112">
        <f t="shared" si="33"/>
        <v>0</v>
      </c>
      <c r="BM20" s="114">
        <f t="shared" si="33"/>
        <v>0</v>
      </c>
      <c r="BN20" s="114">
        <f t="shared" si="34"/>
        <v>0</v>
      </c>
      <c r="BO20" s="114">
        <f t="shared" si="34"/>
        <v>0</v>
      </c>
      <c r="BP20" s="114">
        <f t="shared" si="34"/>
        <v>0</v>
      </c>
      <c r="BQ20" s="114">
        <f t="shared" si="12"/>
        <v>0</v>
      </c>
      <c r="BR20" s="115">
        <f t="shared" si="13"/>
        <v>0</v>
      </c>
      <c r="BS20" s="115">
        <f t="shared" si="14"/>
        <v>0</v>
      </c>
      <c r="BT20" s="115">
        <f t="shared" si="35"/>
        <v>0</v>
      </c>
      <c r="BU20" s="145"/>
      <c r="BV20" s="119">
        <v>3.5</v>
      </c>
      <c r="BW20" s="119">
        <v>1.1</v>
      </c>
      <c r="BX20" s="119">
        <v>5.4</v>
      </c>
      <c r="BY20" s="119">
        <v>2.8</v>
      </c>
      <c r="BZ20" s="119">
        <v>0.5</v>
      </c>
      <c r="CA20" s="119">
        <v>4.8</v>
      </c>
      <c r="CB20" s="100">
        <f t="shared" si="16"/>
        <v>0</v>
      </c>
      <c r="CC20" s="100">
        <f t="shared" si="17"/>
        <v>0</v>
      </c>
      <c r="CD20" s="100">
        <f t="shared" si="18"/>
        <v>0</v>
      </c>
      <c r="CE20" s="100">
        <f t="shared" si="36"/>
        <v>0</v>
      </c>
      <c r="CF20" s="100">
        <f t="shared" si="36"/>
        <v>0</v>
      </c>
      <c r="CG20" s="100">
        <f t="shared" si="36"/>
        <v>0</v>
      </c>
      <c r="CH20" s="117">
        <f t="shared" si="19"/>
        <v>4.06</v>
      </c>
      <c r="CI20" s="117">
        <f t="shared" si="19"/>
        <v>1.2000000000000002</v>
      </c>
      <c r="CJ20" s="118">
        <f t="shared" si="19"/>
        <v>6.36</v>
      </c>
      <c r="CK20" s="119"/>
      <c r="CL20" s="120">
        <f t="shared" si="40"/>
        <v>0</v>
      </c>
      <c r="CM20" s="137">
        <v>-3.2</v>
      </c>
      <c r="CN20" s="138">
        <f t="shared" si="20"/>
        <v>0</v>
      </c>
      <c r="CO20" s="139">
        <f t="shared" si="37"/>
        <v>0</v>
      </c>
      <c r="CP20" s="156"/>
      <c r="CQ20" s="85">
        <v>-760</v>
      </c>
      <c r="CR20" s="124">
        <f t="shared" si="21"/>
        <v>0</v>
      </c>
      <c r="CT20" s="119">
        <v>1.1</v>
      </c>
      <c r="CU20" s="119">
        <f t="shared" si="38"/>
        <v>4.697</v>
      </c>
      <c r="CV20" s="120">
        <f t="shared" si="22"/>
        <v>0</v>
      </c>
      <c r="CW20" s="119"/>
      <c r="CX20" s="119"/>
    </row>
    <row r="21" spans="1:102" s="85" customFormat="1" ht="18" customHeight="1">
      <c r="A21" s="125" t="s">
        <v>97</v>
      </c>
      <c r="B21" s="140"/>
      <c r="C21" s="365"/>
      <c r="D21" s="358">
        <v>22.784847432865398</v>
      </c>
      <c r="E21" s="147"/>
      <c r="F21" s="148">
        <f t="shared" si="0"/>
        <v>0</v>
      </c>
      <c r="G21" s="418">
        <f t="shared" si="23"/>
      </c>
      <c r="H21" s="437" t="s">
        <v>98</v>
      </c>
      <c r="I21" s="81"/>
      <c r="J21" s="82"/>
      <c r="K21" s="533">
        <f t="shared" si="1"/>
      </c>
      <c r="L21" s="533"/>
      <c r="M21" s="533"/>
      <c r="N21" s="533"/>
      <c r="O21" s="40"/>
      <c r="P21" s="40"/>
      <c r="Q21" s="40"/>
      <c r="R21" s="84"/>
      <c r="V21" s="373">
        <f t="shared" si="2"/>
        <v>0</v>
      </c>
      <c r="Z21" s="89">
        <v>0.42</v>
      </c>
      <c r="AA21" s="90">
        <v>0.72</v>
      </c>
      <c r="AB21" s="91">
        <f t="shared" si="3"/>
        <v>0.3024</v>
      </c>
      <c r="AC21" s="92">
        <f t="shared" si="4"/>
        <v>0.157248</v>
      </c>
      <c r="AD21" s="93">
        <v>0.06</v>
      </c>
      <c r="AE21" s="94">
        <f t="shared" si="24"/>
        <v>0.38156288156288154</v>
      </c>
      <c r="AF21" s="95">
        <v>20.4</v>
      </c>
      <c r="AG21" s="95">
        <v>18.8</v>
      </c>
      <c r="AH21" s="95">
        <v>15.2</v>
      </c>
      <c r="AI21" s="96">
        <f t="shared" si="39"/>
        <v>0</v>
      </c>
      <c r="AJ21" s="97">
        <f t="shared" si="25"/>
        <v>0</v>
      </c>
      <c r="AK21" s="98">
        <f t="shared" si="5"/>
        <v>0</v>
      </c>
      <c r="AL21" s="98">
        <f t="shared" si="5"/>
        <v>0</v>
      </c>
      <c r="AM21" s="98">
        <f t="shared" si="5"/>
        <v>0</v>
      </c>
      <c r="AP21" s="149">
        <v>0.2</v>
      </c>
      <c r="AR21" s="150"/>
      <c r="AS21" s="151"/>
      <c r="AT21" s="152">
        <f t="shared" si="8"/>
        <v>0</v>
      </c>
      <c r="AU21" s="153">
        <f t="shared" si="9"/>
        <v>0</v>
      </c>
      <c r="AV21" s="154">
        <v>0.1</v>
      </c>
      <c r="AW21" s="155">
        <f t="shared" si="26"/>
        <v>0.052000000000000005</v>
      </c>
      <c r="AX21" s="141"/>
      <c r="AY21" s="105">
        <f t="shared" si="27"/>
        <v>0</v>
      </c>
      <c r="AZ21" s="152">
        <f t="shared" si="10"/>
        <v>0</v>
      </c>
      <c r="BA21" s="152" t="e">
        <f t="shared" si="28"/>
        <v>#DIV/0!</v>
      </c>
      <c r="BB21" s="142"/>
      <c r="BC21" s="143">
        <v>1</v>
      </c>
      <c r="BD21" s="109">
        <f t="shared" si="11"/>
        <v>0</v>
      </c>
      <c r="BE21" s="143"/>
      <c r="BF21" s="109">
        <f t="shared" si="30"/>
        <v>0</v>
      </c>
      <c r="BG21" s="109">
        <f t="shared" si="31"/>
        <v>0</v>
      </c>
      <c r="BH21" s="131"/>
      <c r="BI21" s="128">
        <v>0.0425</v>
      </c>
      <c r="BJ21" s="144">
        <f>BI21-BH21</f>
        <v>0.0425</v>
      </c>
      <c r="BK21" s="112">
        <f t="shared" si="33"/>
        <v>0</v>
      </c>
      <c r="BL21" s="112">
        <f t="shared" si="33"/>
        <v>0</v>
      </c>
      <c r="BM21" s="114">
        <f t="shared" si="33"/>
        <v>0</v>
      </c>
      <c r="BN21" s="114">
        <f t="shared" si="34"/>
        <v>0</v>
      </c>
      <c r="BO21" s="114">
        <f t="shared" si="34"/>
        <v>0</v>
      </c>
      <c r="BP21" s="114">
        <f t="shared" si="34"/>
        <v>0</v>
      </c>
      <c r="BQ21" s="114">
        <f t="shared" si="12"/>
        <v>0</v>
      </c>
      <c r="BR21" s="115">
        <f t="shared" si="13"/>
        <v>0</v>
      </c>
      <c r="BS21" s="115">
        <f t="shared" si="14"/>
        <v>0</v>
      </c>
      <c r="BT21" s="115">
        <f t="shared" si="35"/>
        <v>0</v>
      </c>
      <c r="BU21" s="145"/>
      <c r="BV21" s="119">
        <v>3.5</v>
      </c>
      <c r="BW21" s="119">
        <v>1.1</v>
      </c>
      <c r="BX21" s="119">
        <v>5.4</v>
      </c>
      <c r="BY21" s="119">
        <v>2.8</v>
      </c>
      <c r="BZ21" s="119">
        <v>0.5</v>
      </c>
      <c r="CA21" s="119">
        <v>4.8</v>
      </c>
      <c r="CB21" s="100">
        <f t="shared" si="16"/>
        <v>0</v>
      </c>
      <c r="CC21" s="100">
        <f t="shared" si="17"/>
        <v>0</v>
      </c>
      <c r="CD21" s="100">
        <f t="shared" si="18"/>
        <v>0</v>
      </c>
      <c r="CE21" s="100">
        <f t="shared" si="36"/>
        <v>0</v>
      </c>
      <c r="CF21" s="100">
        <f t="shared" si="36"/>
        <v>0</v>
      </c>
      <c r="CG21" s="100">
        <f t="shared" si="36"/>
        <v>0</v>
      </c>
      <c r="CH21" s="117">
        <f t="shared" si="19"/>
        <v>4.06</v>
      </c>
      <c r="CI21" s="117">
        <f t="shared" si="19"/>
        <v>1.2000000000000002</v>
      </c>
      <c r="CJ21" s="118">
        <f t="shared" si="19"/>
        <v>6.36</v>
      </c>
      <c r="CK21" s="119"/>
      <c r="CL21" s="120">
        <f t="shared" si="40"/>
        <v>0</v>
      </c>
      <c r="CM21" s="137">
        <v>-3.2</v>
      </c>
      <c r="CN21" s="138">
        <f t="shared" si="20"/>
        <v>0</v>
      </c>
      <c r="CO21" s="139">
        <f t="shared" si="37"/>
        <v>0</v>
      </c>
      <c r="CP21" s="156"/>
      <c r="CQ21" s="85">
        <v>-760</v>
      </c>
      <c r="CR21" s="124">
        <f t="shared" si="21"/>
        <v>0</v>
      </c>
      <c r="CT21" s="119">
        <v>1.1</v>
      </c>
      <c r="CU21" s="119">
        <f t="shared" si="38"/>
        <v>4.697</v>
      </c>
      <c r="CV21" s="120">
        <f t="shared" si="22"/>
        <v>0</v>
      </c>
      <c r="CW21" s="119"/>
      <c r="CX21" s="119"/>
    </row>
    <row r="22" spans="1:102" s="85" customFormat="1" ht="18" customHeight="1">
      <c r="A22" s="420" t="s">
        <v>99</v>
      </c>
      <c r="B22" s="140"/>
      <c r="C22" s="365"/>
      <c r="D22" s="358">
        <v>66.55757198190224</v>
      </c>
      <c r="E22" s="78"/>
      <c r="F22" s="157">
        <f t="shared" si="0"/>
        <v>0</v>
      </c>
      <c r="G22" s="418">
        <f t="shared" si="23"/>
      </c>
      <c r="H22" s="438" t="s">
        <v>230</v>
      </c>
      <c r="I22" s="81"/>
      <c r="J22" s="82"/>
      <c r="K22" s="533">
        <f t="shared" si="1"/>
      </c>
      <c r="L22" s="533"/>
      <c r="M22" s="533"/>
      <c r="N22" s="533"/>
      <c r="O22" s="40"/>
      <c r="P22" s="40"/>
      <c r="Q22" s="40"/>
      <c r="R22" s="84"/>
      <c r="V22" s="373">
        <f t="shared" si="2"/>
        <v>0</v>
      </c>
      <c r="Z22" s="89">
        <v>0.4</v>
      </c>
      <c r="AA22" s="90">
        <v>0.6</v>
      </c>
      <c r="AB22" s="91">
        <f t="shared" si="3"/>
        <v>0.24</v>
      </c>
      <c r="AC22" s="92">
        <f t="shared" si="4"/>
        <v>0.1248</v>
      </c>
      <c r="AD22" s="93">
        <v>0.058</v>
      </c>
      <c r="AE22" s="94">
        <f t="shared" si="24"/>
        <v>0.4647435897435898</v>
      </c>
      <c r="AF22" s="95">
        <v>5.5</v>
      </c>
      <c r="AG22" s="95">
        <v>4.5</v>
      </c>
      <c r="AH22" s="95">
        <v>6.1</v>
      </c>
      <c r="AI22" s="96">
        <f t="shared" si="39"/>
        <v>0</v>
      </c>
      <c r="AJ22" s="97">
        <f t="shared" si="25"/>
        <v>0</v>
      </c>
      <c r="AK22" s="98">
        <f t="shared" si="5"/>
        <v>0</v>
      </c>
      <c r="AL22" s="98">
        <f t="shared" si="5"/>
        <v>0</v>
      </c>
      <c r="AM22" s="98">
        <f t="shared" si="5"/>
        <v>0</v>
      </c>
      <c r="AP22" s="149">
        <v>0.4</v>
      </c>
      <c r="AR22" s="153">
        <f aca="true" t="shared" si="41" ref="AR22:AR34">C22*AP22*E22</f>
        <v>0</v>
      </c>
      <c r="AS22" s="158">
        <f aca="true" t="shared" si="42" ref="AS22:AS34">IF(E22=0,0,AR22/E22)</f>
        <v>0</v>
      </c>
      <c r="AT22" s="152">
        <f t="shared" si="8"/>
        <v>0</v>
      </c>
      <c r="AU22" s="153">
        <f t="shared" si="9"/>
        <v>0</v>
      </c>
      <c r="AV22" s="154">
        <v>0.1</v>
      </c>
      <c r="AW22" s="155">
        <f t="shared" si="26"/>
        <v>0.052000000000000005</v>
      </c>
      <c r="AX22" s="159">
        <v>0.008</v>
      </c>
      <c r="AY22" s="105">
        <f t="shared" si="27"/>
        <v>0.15384615384615383</v>
      </c>
      <c r="AZ22" s="152">
        <f t="shared" si="10"/>
        <v>0</v>
      </c>
      <c r="BA22" s="152" t="e">
        <f t="shared" si="28"/>
        <v>#DIV/0!</v>
      </c>
      <c r="BB22" s="160">
        <f>AU22*AX22</f>
        <v>0</v>
      </c>
      <c r="BC22" s="143">
        <v>1</v>
      </c>
      <c r="BD22" s="109">
        <f t="shared" si="11"/>
        <v>0</v>
      </c>
      <c r="BE22" s="161">
        <v>2.5</v>
      </c>
      <c r="BF22" s="109">
        <f t="shared" si="30"/>
        <v>0</v>
      </c>
      <c r="BG22" s="109">
        <f t="shared" si="31"/>
        <v>0</v>
      </c>
      <c r="BH22" s="131"/>
      <c r="BI22" s="128">
        <v>0.0083</v>
      </c>
      <c r="BJ22" s="144">
        <f t="shared" si="32"/>
        <v>0.0083</v>
      </c>
      <c r="BK22" s="112">
        <f t="shared" si="33"/>
        <v>0</v>
      </c>
      <c r="BL22" s="112">
        <f t="shared" si="33"/>
        <v>0</v>
      </c>
      <c r="BM22" s="114">
        <f t="shared" si="33"/>
        <v>0</v>
      </c>
      <c r="BN22" s="114">
        <f t="shared" si="34"/>
        <v>0</v>
      </c>
      <c r="BO22" s="114">
        <f t="shared" si="34"/>
        <v>0</v>
      </c>
      <c r="BP22" s="114">
        <f t="shared" si="34"/>
        <v>0</v>
      </c>
      <c r="BQ22" s="114">
        <f t="shared" si="12"/>
        <v>0</v>
      </c>
      <c r="BR22" s="115">
        <f t="shared" si="13"/>
        <v>0</v>
      </c>
      <c r="BS22" s="115">
        <f t="shared" si="14"/>
        <v>0</v>
      </c>
      <c r="BT22" s="115">
        <f t="shared" si="35"/>
        <v>0</v>
      </c>
      <c r="BU22" s="145"/>
      <c r="BV22" s="119">
        <v>1.8</v>
      </c>
      <c r="BW22" s="119">
        <v>0.7</v>
      </c>
      <c r="BX22" s="119">
        <v>2.4</v>
      </c>
      <c r="BY22" s="119">
        <v>4</v>
      </c>
      <c r="BZ22" s="119">
        <v>0.9</v>
      </c>
      <c r="CA22" s="119">
        <v>5.4</v>
      </c>
      <c r="CB22" s="100">
        <f t="shared" si="16"/>
        <v>0</v>
      </c>
      <c r="CC22" s="100">
        <f t="shared" si="17"/>
        <v>0</v>
      </c>
      <c r="CD22" s="100">
        <f t="shared" si="18"/>
        <v>0</v>
      </c>
      <c r="CE22" s="100">
        <f t="shared" si="36"/>
        <v>0</v>
      </c>
      <c r="CF22" s="100">
        <f t="shared" si="36"/>
        <v>0</v>
      </c>
      <c r="CG22" s="100">
        <f t="shared" si="36"/>
        <v>0</v>
      </c>
      <c r="CH22" s="117">
        <f t="shared" si="19"/>
        <v>3.4000000000000004</v>
      </c>
      <c r="CI22" s="117">
        <f t="shared" si="19"/>
        <v>1.06</v>
      </c>
      <c r="CJ22" s="118">
        <f t="shared" si="19"/>
        <v>4.5600000000000005</v>
      </c>
      <c r="CK22" s="119"/>
      <c r="CL22" s="120">
        <f t="shared" si="40"/>
        <v>0</v>
      </c>
      <c r="CM22" s="137">
        <v>-3.2</v>
      </c>
      <c r="CN22" s="138">
        <f t="shared" si="20"/>
        <v>0</v>
      </c>
      <c r="CO22" s="139">
        <f t="shared" si="37"/>
        <v>0</v>
      </c>
      <c r="CP22" s="156"/>
      <c r="CQ22" s="85">
        <v>-760</v>
      </c>
      <c r="CR22" s="124">
        <f t="shared" si="21"/>
        <v>0</v>
      </c>
      <c r="CT22" s="119">
        <v>1.1</v>
      </c>
      <c r="CU22" s="119">
        <f t="shared" si="38"/>
        <v>4.697</v>
      </c>
      <c r="CV22" s="120">
        <f t="shared" si="22"/>
        <v>0</v>
      </c>
      <c r="CW22" s="119"/>
      <c r="CX22" s="119"/>
    </row>
    <row r="23" spans="1:102" s="85" customFormat="1" ht="18" customHeight="1">
      <c r="A23" s="125" t="s">
        <v>100</v>
      </c>
      <c r="B23" s="140"/>
      <c r="C23" s="365"/>
      <c r="D23" s="358">
        <v>37.33400476103278</v>
      </c>
      <c r="E23" s="78"/>
      <c r="F23" s="157">
        <f t="shared" si="0"/>
        <v>0</v>
      </c>
      <c r="G23" s="418">
        <f t="shared" si="23"/>
      </c>
      <c r="H23" s="437" t="s">
        <v>231</v>
      </c>
      <c r="I23" s="133"/>
      <c r="J23" s="134"/>
      <c r="K23" s="533">
        <f t="shared" si="1"/>
      </c>
      <c r="L23" s="533"/>
      <c r="M23" s="533"/>
      <c r="N23" s="533"/>
      <c r="O23" s="40"/>
      <c r="P23" s="40"/>
      <c r="Q23" s="40"/>
      <c r="R23" s="84"/>
      <c r="V23" s="373">
        <f t="shared" si="2"/>
        <v>0</v>
      </c>
      <c r="Z23" s="89">
        <v>0.058</v>
      </c>
      <c r="AA23" s="90">
        <v>0.75</v>
      </c>
      <c r="AB23" s="91">
        <f t="shared" si="3"/>
        <v>0.043500000000000004</v>
      </c>
      <c r="AC23" s="92">
        <f t="shared" si="4"/>
        <v>0.02262</v>
      </c>
      <c r="AD23" s="93">
        <v>0.007</v>
      </c>
      <c r="AE23" s="94">
        <f t="shared" si="24"/>
        <v>0.3094606542882405</v>
      </c>
      <c r="AF23" s="95">
        <v>5.3</v>
      </c>
      <c r="AG23" s="95">
        <v>1.6</v>
      </c>
      <c r="AH23" s="95">
        <v>3.5</v>
      </c>
      <c r="AI23" s="96">
        <f t="shared" si="39"/>
        <v>0</v>
      </c>
      <c r="AJ23" s="97">
        <f t="shared" si="25"/>
        <v>0</v>
      </c>
      <c r="AK23" s="98">
        <f t="shared" si="5"/>
        <v>0</v>
      </c>
      <c r="AL23" s="98">
        <f t="shared" si="5"/>
        <v>0</v>
      </c>
      <c r="AM23" s="98">
        <f t="shared" si="5"/>
        <v>0</v>
      </c>
      <c r="AP23" s="149">
        <v>0.4</v>
      </c>
      <c r="AR23" s="153">
        <f t="shared" si="41"/>
        <v>0</v>
      </c>
      <c r="AS23" s="158">
        <f t="shared" si="42"/>
        <v>0</v>
      </c>
      <c r="AT23" s="152">
        <f t="shared" si="8"/>
        <v>0</v>
      </c>
      <c r="AU23" s="153">
        <f t="shared" si="9"/>
        <v>0</v>
      </c>
      <c r="AV23" s="154">
        <v>0.1</v>
      </c>
      <c r="AW23" s="155">
        <f t="shared" si="26"/>
        <v>0.052000000000000005</v>
      </c>
      <c r="AX23" s="159">
        <v>0.008</v>
      </c>
      <c r="AY23" s="105">
        <f t="shared" si="27"/>
        <v>0.15384615384615383</v>
      </c>
      <c r="AZ23" s="152">
        <f t="shared" si="10"/>
        <v>0</v>
      </c>
      <c r="BA23" s="152" t="e">
        <f t="shared" si="28"/>
        <v>#DIV/0!</v>
      </c>
      <c r="BB23" s="160">
        <f>AU23*AX23</f>
        <v>0</v>
      </c>
      <c r="BC23" s="143">
        <v>1</v>
      </c>
      <c r="BD23" s="109">
        <f t="shared" si="11"/>
        <v>0</v>
      </c>
      <c r="BE23" s="143">
        <v>2</v>
      </c>
      <c r="BF23" s="109">
        <f t="shared" si="30"/>
        <v>0</v>
      </c>
      <c r="BG23" s="109">
        <f t="shared" si="31"/>
        <v>0</v>
      </c>
      <c r="BH23" s="131"/>
      <c r="BI23" s="128">
        <v>0.01</v>
      </c>
      <c r="BJ23" s="144">
        <f t="shared" si="32"/>
        <v>0.01</v>
      </c>
      <c r="BK23" s="112">
        <f t="shared" si="33"/>
        <v>0</v>
      </c>
      <c r="BL23" s="112">
        <f t="shared" si="33"/>
        <v>0</v>
      </c>
      <c r="BM23" s="114">
        <f t="shared" si="33"/>
        <v>0</v>
      </c>
      <c r="BN23" s="114">
        <f t="shared" si="34"/>
        <v>0</v>
      </c>
      <c r="BO23" s="114">
        <f t="shared" si="34"/>
        <v>0</v>
      </c>
      <c r="BP23" s="114">
        <f t="shared" si="34"/>
        <v>0</v>
      </c>
      <c r="BQ23" s="114">
        <f t="shared" si="12"/>
        <v>0</v>
      </c>
      <c r="BR23" s="115">
        <f t="shared" si="13"/>
        <v>0</v>
      </c>
      <c r="BS23" s="115">
        <f t="shared" si="14"/>
        <v>0</v>
      </c>
      <c r="BT23" s="115">
        <f t="shared" si="35"/>
        <v>0</v>
      </c>
      <c r="BU23" s="145"/>
      <c r="BV23" s="119">
        <v>1.4</v>
      </c>
      <c r="BW23" s="119">
        <v>0.7</v>
      </c>
      <c r="BX23" s="119">
        <v>1.6</v>
      </c>
      <c r="BY23" s="119">
        <v>2.8</v>
      </c>
      <c r="BZ23" s="119">
        <v>0.9</v>
      </c>
      <c r="CA23" s="119">
        <v>4.8</v>
      </c>
      <c r="CB23" s="100">
        <f t="shared" si="16"/>
        <v>0</v>
      </c>
      <c r="CC23" s="100">
        <f t="shared" si="17"/>
        <v>0</v>
      </c>
      <c r="CD23" s="100">
        <f t="shared" si="18"/>
        <v>0</v>
      </c>
      <c r="CE23" s="100">
        <f t="shared" si="36"/>
        <v>0</v>
      </c>
      <c r="CF23" s="100">
        <f t="shared" si="36"/>
        <v>0</v>
      </c>
      <c r="CG23" s="100">
        <f t="shared" si="36"/>
        <v>0</v>
      </c>
      <c r="CH23" s="117">
        <f aca="true" t="shared" si="43" ref="CH23:CJ31">BV23+$AP23*BY23</f>
        <v>2.5199999999999996</v>
      </c>
      <c r="CI23" s="117">
        <f t="shared" si="43"/>
        <v>1.06</v>
      </c>
      <c r="CJ23" s="118">
        <f t="shared" si="43"/>
        <v>3.52</v>
      </c>
      <c r="CK23" s="119"/>
      <c r="CL23" s="120">
        <f t="shared" si="40"/>
        <v>0</v>
      </c>
      <c r="CM23" s="137">
        <v>-3.2</v>
      </c>
      <c r="CN23" s="138">
        <f t="shared" si="20"/>
        <v>0</v>
      </c>
      <c r="CO23" s="139">
        <f t="shared" si="37"/>
        <v>0</v>
      </c>
      <c r="CP23" s="156"/>
      <c r="CQ23" s="85">
        <v>-760</v>
      </c>
      <c r="CR23" s="124">
        <f t="shared" si="21"/>
        <v>0</v>
      </c>
      <c r="CT23" s="119">
        <v>1.1</v>
      </c>
      <c r="CU23" s="119">
        <f t="shared" si="38"/>
        <v>4.697</v>
      </c>
      <c r="CV23" s="120">
        <f t="shared" si="22"/>
        <v>0</v>
      </c>
      <c r="CW23" s="119"/>
      <c r="CX23" s="119"/>
    </row>
    <row r="24" spans="1:102" s="85" customFormat="1" ht="18" customHeight="1">
      <c r="A24" s="125" t="s">
        <v>101</v>
      </c>
      <c r="B24" s="140"/>
      <c r="C24" s="365"/>
      <c r="D24" s="358">
        <v>13.685992382564535</v>
      </c>
      <c r="E24" s="78"/>
      <c r="F24" s="157">
        <f t="shared" si="0"/>
        <v>0</v>
      </c>
      <c r="G24" s="418">
        <f t="shared" si="23"/>
      </c>
      <c r="H24" s="438" t="s">
        <v>232</v>
      </c>
      <c r="I24" s="133"/>
      <c r="J24" s="134"/>
      <c r="K24" s="533">
        <f t="shared" si="1"/>
      </c>
      <c r="L24" s="533"/>
      <c r="M24" s="533"/>
      <c r="N24" s="533"/>
      <c r="O24" s="40"/>
      <c r="P24" s="40"/>
      <c r="Q24" s="40"/>
      <c r="R24" s="84"/>
      <c r="V24" s="373">
        <f t="shared" si="2"/>
        <v>0</v>
      </c>
      <c r="Z24" s="89">
        <v>0.039</v>
      </c>
      <c r="AA24" s="90">
        <v>0.75</v>
      </c>
      <c r="AB24" s="91">
        <f t="shared" si="3"/>
        <v>0.029249999999999998</v>
      </c>
      <c r="AC24" s="92">
        <f t="shared" si="4"/>
        <v>0.01521</v>
      </c>
      <c r="AD24" s="93">
        <v>0.0045</v>
      </c>
      <c r="AE24" s="94">
        <f t="shared" si="24"/>
        <v>0.2958579881656805</v>
      </c>
      <c r="AF24" s="95">
        <v>5.1</v>
      </c>
      <c r="AG24" s="95">
        <v>1.4</v>
      </c>
      <c r="AH24" s="95">
        <v>3.4</v>
      </c>
      <c r="AI24" s="96">
        <f t="shared" si="39"/>
        <v>0</v>
      </c>
      <c r="AJ24" s="97">
        <f t="shared" si="25"/>
        <v>0</v>
      </c>
      <c r="AK24" s="98">
        <f t="shared" si="5"/>
        <v>0</v>
      </c>
      <c r="AL24" s="98">
        <f t="shared" si="5"/>
        <v>0</v>
      </c>
      <c r="AM24" s="98">
        <f t="shared" si="5"/>
        <v>0</v>
      </c>
      <c r="AP24" s="149">
        <v>0.4</v>
      </c>
      <c r="AR24" s="153">
        <f t="shared" si="41"/>
        <v>0</v>
      </c>
      <c r="AS24" s="158">
        <f t="shared" si="42"/>
        <v>0</v>
      </c>
      <c r="AT24" s="152">
        <f t="shared" si="8"/>
        <v>0</v>
      </c>
      <c r="AU24" s="153">
        <f t="shared" si="9"/>
        <v>0</v>
      </c>
      <c r="AV24" s="154">
        <v>0.1</v>
      </c>
      <c r="AW24" s="155">
        <f t="shared" si="26"/>
        <v>0.052000000000000005</v>
      </c>
      <c r="AX24" s="159">
        <v>0.008</v>
      </c>
      <c r="AY24" s="105">
        <f t="shared" si="27"/>
        <v>0.15384615384615383</v>
      </c>
      <c r="AZ24" s="152">
        <f t="shared" si="10"/>
        <v>0</v>
      </c>
      <c r="BA24" s="152" t="e">
        <f t="shared" si="28"/>
        <v>#DIV/0!</v>
      </c>
      <c r="BB24" s="160">
        <f>AU24*AX24</f>
        <v>0</v>
      </c>
      <c r="BC24" s="143">
        <v>1</v>
      </c>
      <c r="BD24" s="109">
        <f t="shared" si="11"/>
        <v>0</v>
      </c>
      <c r="BE24" s="143">
        <v>2</v>
      </c>
      <c r="BF24" s="109">
        <f t="shared" si="30"/>
        <v>0</v>
      </c>
      <c r="BG24" s="109">
        <f t="shared" si="31"/>
        <v>0</v>
      </c>
      <c r="BH24" s="131"/>
      <c r="BI24" s="131">
        <v>0.0104</v>
      </c>
      <c r="BJ24" s="144">
        <f t="shared" si="32"/>
        <v>0.0104</v>
      </c>
      <c r="BK24" s="112">
        <f t="shared" si="33"/>
        <v>0</v>
      </c>
      <c r="BL24" s="112">
        <f t="shared" si="33"/>
        <v>0</v>
      </c>
      <c r="BM24" s="114">
        <f t="shared" si="33"/>
        <v>0</v>
      </c>
      <c r="BN24" s="114">
        <f t="shared" si="34"/>
        <v>0</v>
      </c>
      <c r="BO24" s="114">
        <f t="shared" si="34"/>
        <v>0</v>
      </c>
      <c r="BP24" s="114">
        <f t="shared" si="34"/>
        <v>0</v>
      </c>
      <c r="BQ24" s="114">
        <f t="shared" si="12"/>
        <v>0</v>
      </c>
      <c r="BR24" s="115">
        <f t="shared" si="13"/>
        <v>0</v>
      </c>
      <c r="BS24" s="115">
        <f t="shared" si="14"/>
        <v>0</v>
      </c>
      <c r="BT24" s="115">
        <f t="shared" si="35"/>
        <v>0</v>
      </c>
      <c r="BU24" s="145"/>
      <c r="BV24" s="119">
        <v>1.4</v>
      </c>
      <c r="BW24" s="119">
        <v>0.7</v>
      </c>
      <c r="BX24" s="119">
        <v>1.6</v>
      </c>
      <c r="BY24" s="119">
        <v>2.8</v>
      </c>
      <c r="BZ24" s="119">
        <v>0.9</v>
      </c>
      <c r="CA24" s="119">
        <v>4.8</v>
      </c>
      <c r="CB24" s="100">
        <f t="shared" si="16"/>
        <v>0</v>
      </c>
      <c r="CC24" s="100">
        <f t="shared" si="17"/>
        <v>0</v>
      </c>
      <c r="CD24" s="100">
        <f t="shared" si="18"/>
        <v>0</v>
      </c>
      <c r="CE24" s="100">
        <f aca="true" t="shared" si="44" ref="CE24:CG35">IF($B24=0,0,CB24/$B24)</f>
        <v>0</v>
      </c>
      <c r="CF24" s="100">
        <f t="shared" si="44"/>
        <v>0</v>
      </c>
      <c r="CG24" s="100">
        <f t="shared" si="44"/>
        <v>0</v>
      </c>
      <c r="CH24" s="117">
        <f t="shared" si="43"/>
        <v>2.5199999999999996</v>
      </c>
      <c r="CI24" s="117">
        <f t="shared" si="43"/>
        <v>1.06</v>
      </c>
      <c r="CJ24" s="118">
        <f t="shared" si="43"/>
        <v>3.52</v>
      </c>
      <c r="CK24" s="119"/>
      <c r="CL24" s="120">
        <f t="shared" si="40"/>
        <v>0</v>
      </c>
      <c r="CM24" s="137">
        <v>-3.2</v>
      </c>
      <c r="CN24" s="138">
        <f t="shared" si="20"/>
        <v>0</v>
      </c>
      <c r="CO24" s="139">
        <f t="shared" si="37"/>
        <v>0</v>
      </c>
      <c r="CP24" s="156"/>
      <c r="CQ24" s="85">
        <v>-760</v>
      </c>
      <c r="CR24" s="124">
        <f t="shared" si="21"/>
        <v>0</v>
      </c>
      <c r="CT24" s="119">
        <v>1.1</v>
      </c>
      <c r="CU24" s="119">
        <f t="shared" si="38"/>
        <v>4.697</v>
      </c>
      <c r="CV24" s="120">
        <f t="shared" si="22"/>
        <v>0</v>
      </c>
      <c r="CW24" s="119"/>
      <c r="CX24" s="119"/>
    </row>
    <row r="25" spans="1:102" s="85" customFormat="1" ht="18" customHeight="1">
      <c r="A25" s="420" t="s">
        <v>102</v>
      </c>
      <c r="B25" s="140"/>
      <c r="C25" s="365"/>
      <c r="D25" s="358">
        <v>2.9072671545998903</v>
      </c>
      <c r="E25" s="78"/>
      <c r="F25" s="79">
        <f t="shared" si="0"/>
        <v>0</v>
      </c>
      <c r="G25" s="418">
        <f t="shared" si="23"/>
      </c>
      <c r="H25" s="438" t="s">
        <v>233</v>
      </c>
      <c r="I25" s="133"/>
      <c r="J25" s="134"/>
      <c r="K25" s="533">
        <f t="shared" si="1"/>
      </c>
      <c r="L25" s="533"/>
      <c r="M25" s="533"/>
      <c r="N25" s="533"/>
      <c r="O25" s="40"/>
      <c r="P25" s="40"/>
      <c r="Q25" s="40"/>
      <c r="R25" s="84"/>
      <c r="V25" s="373">
        <f t="shared" si="2"/>
        <v>0</v>
      </c>
      <c r="Z25" s="89">
        <v>0.23</v>
      </c>
      <c r="AA25" s="90">
        <v>0.85</v>
      </c>
      <c r="AB25" s="91">
        <f t="shared" si="3"/>
        <v>0.1955</v>
      </c>
      <c r="AC25" s="92">
        <f t="shared" si="4"/>
        <v>0.10166</v>
      </c>
      <c r="AD25" s="93">
        <v>0.036</v>
      </c>
      <c r="AE25" s="94">
        <f t="shared" si="24"/>
        <v>0.3541215817430651</v>
      </c>
      <c r="AF25" s="95">
        <v>6.8</v>
      </c>
      <c r="AG25" s="95">
        <v>3</v>
      </c>
      <c r="AH25" s="95">
        <v>4.5</v>
      </c>
      <c r="AI25" s="96">
        <f>J25*AB25</f>
        <v>0</v>
      </c>
      <c r="AJ25" s="97">
        <f t="shared" si="25"/>
        <v>0</v>
      </c>
      <c r="AK25" s="98">
        <f t="shared" si="5"/>
        <v>0</v>
      </c>
      <c r="AL25" s="98">
        <f t="shared" si="5"/>
        <v>0</v>
      </c>
      <c r="AM25" s="98">
        <f t="shared" si="5"/>
        <v>0</v>
      </c>
      <c r="AP25" s="99">
        <v>1.7</v>
      </c>
      <c r="AR25" s="100">
        <f t="shared" si="41"/>
        <v>0</v>
      </c>
      <c r="AS25" s="101">
        <f t="shared" si="42"/>
        <v>0</v>
      </c>
      <c r="AT25" s="102">
        <f t="shared" si="8"/>
        <v>0</v>
      </c>
      <c r="AU25" s="100">
        <f t="shared" si="9"/>
        <v>0</v>
      </c>
      <c r="AV25" s="103">
        <v>0.8</v>
      </c>
      <c r="AW25" s="104">
        <f t="shared" si="26"/>
        <v>0.41600000000000004</v>
      </c>
      <c r="AX25" s="105">
        <v>0.1</v>
      </c>
      <c r="AY25" s="105">
        <f t="shared" si="27"/>
        <v>0.24038461538461536</v>
      </c>
      <c r="AZ25" s="106">
        <f t="shared" si="10"/>
        <v>0</v>
      </c>
      <c r="BA25" s="106" t="e">
        <f t="shared" si="28"/>
        <v>#DIV/0!</v>
      </c>
      <c r="BB25" s="107">
        <f aca="true" t="shared" si="45" ref="BB25:BB33">AU25*AX25</f>
        <v>0</v>
      </c>
      <c r="BC25" s="108">
        <v>1.5</v>
      </c>
      <c r="BD25" s="109">
        <f t="shared" si="11"/>
        <v>0</v>
      </c>
      <c r="BE25" s="108">
        <v>4</v>
      </c>
      <c r="BF25" s="109">
        <f t="shared" si="30"/>
        <v>0</v>
      </c>
      <c r="BG25" s="109">
        <f t="shared" si="31"/>
        <v>0</v>
      </c>
      <c r="BH25" s="162"/>
      <c r="BI25" s="110">
        <v>1.812</v>
      </c>
      <c r="BJ25" s="144">
        <f t="shared" si="32"/>
        <v>1.812</v>
      </c>
      <c r="BK25" s="112">
        <f t="shared" si="33"/>
        <v>0</v>
      </c>
      <c r="BL25" s="112">
        <f t="shared" si="33"/>
        <v>0</v>
      </c>
      <c r="BM25" s="114">
        <f t="shared" si="33"/>
        <v>0</v>
      </c>
      <c r="BN25" s="114">
        <f t="shared" si="34"/>
        <v>0</v>
      </c>
      <c r="BO25" s="114">
        <f t="shared" si="34"/>
        <v>0</v>
      </c>
      <c r="BP25" s="114">
        <f t="shared" si="34"/>
        <v>0</v>
      </c>
      <c r="BQ25" s="114">
        <f t="shared" si="12"/>
        <v>0</v>
      </c>
      <c r="BR25" s="115">
        <f t="shared" si="13"/>
        <v>0</v>
      </c>
      <c r="BS25" s="115">
        <f t="shared" si="14"/>
        <v>0</v>
      </c>
      <c r="BT25" s="115">
        <f t="shared" si="35"/>
        <v>0</v>
      </c>
      <c r="BU25" s="145"/>
      <c r="BV25" s="119">
        <v>33.5</v>
      </c>
      <c r="BW25" s="119">
        <v>16</v>
      </c>
      <c r="BX25" s="119">
        <v>10</v>
      </c>
      <c r="BY25" s="119">
        <v>7</v>
      </c>
      <c r="BZ25" s="119">
        <v>3</v>
      </c>
      <c r="CA25" s="119">
        <v>22.9</v>
      </c>
      <c r="CB25" s="100">
        <f t="shared" si="16"/>
        <v>0</v>
      </c>
      <c r="CC25" s="100">
        <f t="shared" si="17"/>
        <v>0</v>
      </c>
      <c r="CD25" s="100">
        <f t="shared" si="18"/>
        <v>0</v>
      </c>
      <c r="CE25" s="100">
        <f t="shared" si="44"/>
        <v>0</v>
      </c>
      <c r="CF25" s="100">
        <f t="shared" si="44"/>
        <v>0</v>
      </c>
      <c r="CG25" s="100">
        <f t="shared" si="44"/>
        <v>0</v>
      </c>
      <c r="CH25" s="117">
        <f t="shared" si="43"/>
        <v>45.4</v>
      </c>
      <c r="CI25" s="117">
        <f t="shared" si="43"/>
        <v>21.1</v>
      </c>
      <c r="CJ25" s="118">
        <f t="shared" si="43"/>
        <v>48.93</v>
      </c>
      <c r="CK25" s="119"/>
      <c r="CL25" s="120">
        <f t="shared" si="40"/>
        <v>0</v>
      </c>
      <c r="CM25" s="121">
        <v>-1.9</v>
      </c>
      <c r="CN25" s="122">
        <f t="shared" si="20"/>
        <v>0</v>
      </c>
      <c r="CO25" s="123">
        <f t="shared" si="37"/>
        <v>0</v>
      </c>
      <c r="CP25" s="156"/>
      <c r="CQ25" s="85">
        <v>-280</v>
      </c>
      <c r="CR25" s="124">
        <f t="shared" si="21"/>
        <v>0</v>
      </c>
      <c r="CT25" s="119">
        <v>1</v>
      </c>
      <c r="CU25" s="119">
        <f t="shared" si="38"/>
        <v>4.27</v>
      </c>
      <c r="CV25" s="120">
        <f t="shared" si="22"/>
        <v>0</v>
      </c>
      <c r="CW25" s="119"/>
      <c r="CX25" s="119"/>
    </row>
    <row r="26" spans="1:102" s="85" customFormat="1" ht="18" customHeight="1">
      <c r="A26" s="125" t="s">
        <v>103</v>
      </c>
      <c r="B26" s="140"/>
      <c r="C26" s="365"/>
      <c r="D26" s="358">
        <v>2.460853043883646</v>
      </c>
      <c r="E26" s="78"/>
      <c r="F26" s="79">
        <f t="shared" si="0"/>
        <v>0</v>
      </c>
      <c r="G26" s="418">
        <f t="shared" si="23"/>
      </c>
      <c r="H26" s="438" t="s">
        <v>104</v>
      </c>
      <c r="I26" s="163"/>
      <c r="J26" s="164"/>
      <c r="K26" s="533">
        <f t="shared" si="1"/>
      </c>
      <c r="L26" s="533"/>
      <c r="M26" s="533"/>
      <c r="N26" s="533"/>
      <c r="O26" s="40"/>
      <c r="P26" s="40"/>
      <c r="Q26" s="40"/>
      <c r="R26" s="84"/>
      <c r="V26" s="373">
        <f t="shared" si="2"/>
        <v>0</v>
      </c>
      <c r="Z26" s="89">
        <v>0.35</v>
      </c>
      <c r="AA26" s="90">
        <v>0.65</v>
      </c>
      <c r="AB26" s="91">
        <f t="shared" si="3"/>
        <v>0.22749999999999998</v>
      </c>
      <c r="AC26" s="92">
        <f t="shared" si="4"/>
        <v>0.11829999999999999</v>
      </c>
      <c r="AD26" s="93">
        <v>0.045</v>
      </c>
      <c r="AE26" s="94">
        <f t="shared" si="24"/>
        <v>0.3803888419273035</v>
      </c>
      <c r="AF26" s="95">
        <f>3*Z26*10</f>
        <v>10.499999999999998</v>
      </c>
      <c r="AG26" s="95">
        <v>0</v>
      </c>
      <c r="AH26" s="95">
        <f>8*Z26*10</f>
        <v>28</v>
      </c>
      <c r="AI26" s="96">
        <f>J26*AB26</f>
        <v>0</v>
      </c>
      <c r="AJ26" s="97">
        <f t="shared" si="25"/>
        <v>0</v>
      </c>
      <c r="AK26" s="98">
        <f t="shared" si="5"/>
        <v>0</v>
      </c>
      <c r="AL26" s="98">
        <f t="shared" si="5"/>
        <v>0</v>
      </c>
      <c r="AM26" s="98">
        <f t="shared" si="5"/>
        <v>0</v>
      </c>
      <c r="AP26" s="99">
        <v>1.8</v>
      </c>
      <c r="AR26" s="100">
        <f t="shared" si="41"/>
        <v>0</v>
      </c>
      <c r="AS26" s="101">
        <f t="shared" si="42"/>
        <v>0</v>
      </c>
      <c r="AT26" s="102">
        <f t="shared" si="8"/>
        <v>0</v>
      </c>
      <c r="AU26" s="100">
        <f t="shared" si="9"/>
        <v>0</v>
      </c>
      <c r="AV26" s="103">
        <v>0.8</v>
      </c>
      <c r="AW26" s="104">
        <f t="shared" si="26"/>
        <v>0.41600000000000004</v>
      </c>
      <c r="AX26" s="105">
        <v>0.1</v>
      </c>
      <c r="AY26" s="105">
        <f t="shared" si="27"/>
        <v>0.24038461538461536</v>
      </c>
      <c r="AZ26" s="106">
        <f t="shared" si="10"/>
        <v>0</v>
      </c>
      <c r="BA26" s="106" t="e">
        <f t="shared" si="28"/>
        <v>#DIV/0!</v>
      </c>
      <c r="BB26" s="107">
        <f t="shared" si="45"/>
        <v>0</v>
      </c>
      <c r="BC26" s="108">
        <v>1.5</v>
      </c>
      <c r="BD26" s="109">
        <f t="shared" si="11"/>
        <v>0</v>
      </c>
      <c r="BE26" s="108">
        <v>2</v>
      </c>
      <c r="BF26" s="109">
        <f t="shared" si="30"/>
        <v>0</v>
      </c>
      <c r="BG26" s="109">
        <f t="shared" si="31"/>
        <v>0</v>
      </c>
      <c r="BH26" s="162"/>
      <c r="BI26" s="110">
        <v>1.685</v>
      </c>
      <c r="BJ26" s="144">
        <f t="shared" si="32"/>
        <v>1.685</v>
      </c>
      <c r="BK26" s="112">
        <f t="shared" si="33"/>
        <v>0</v>
      </c>
      <c r="BL26" s="112">
        <f t="shared" si="33"/>
        <v>0</v>
      </c>
      <c r="BM26" s="114">
        <f t="shared" si="33"/>
        <v>0</v>
      </c>
      <c r="BN26" s="114">
        <f t="shared" si="34"/>
        <v>0</v>
      </c>
      <c r="BO26" s="114">
        <f t="shared" si="34"/>
        <v>0</v>
      </c>
      <c r="BP26" s="114">
        <f t="shared" si="34"/>
        <v>0</v>
      </c>
      <c r="BQ26" s="114">
        <f t="shared" si="12"/>
        <v>0</v>
      </c>
      <c r="BR26" s="115">
        <f t="shared" si="13"/>
        <v>0</v>
      </c>
      <c r="BS26" s="115">
        <f t="shared" si="14"/>
        <v>0</v>
      </c>
      <c r="BT26" s="115">
        <f t="shared" si="35"/>
        <v>0</v>
      </c>
      <c r="BU26" s="145"/>
      <c r="BV26" s="119">
        <v>28</v>
      </c>
      <c r="BW26" s="119">
        <v>16</v>
      </c>
      <c r="BX26" s="119">
        <v>24</v>
      </c>
      <c r="BY26" s="119">
        <v>10</v>
      </c>
      <c r="BZ26" s="119">
        <v>5</v>
      </c>
      <c r="CA26" s="119">
        <v>50</v>
      </c>
      <c r="CB26" s="100">
        <f t="shared" si="16"/>
        <v>0</v>
      </c>
      <c r="CC26" s="100">
        <f t="shared" si="17"/>
        <v>0</v>
      </c>
      <c r="CD26" s="100">
        <f t="shared" si="18"/>
        <v>0</v>
      </c>
      <c r="CE26" s="100">
        <f t="shared" si="44"/>
        <v>0</v>
      </c>
      <c r="CF26" s="100">
        <f t="shared" si="44"/>
        <v>0</v>
      </c>
      <c r="CG26" s="100">
        <f t="shared" si="44"/>
        <v>0</v>
      </c>
      <c r="CH26" s="117">
        <f t="shared" si="43"/>
        <v>46</v>
      </c>
      <c r="CI26" s="117">
        <f t="shared" si="43"/>
        <v>25</v>
      </c>
      <c r="CJ26" s="118">
        <f t="shared" si="43"/>
        <v>114</v>
      </c>
      <c r="CK26" s="119"/>
      <c r="CL26" s="120">
        <f t="shared" si="40"/>
        <v>0</v>
      </c>
      <c r="CM26" s="121">
        <v>-1.9</v>
      </c>
      <c r="CN26" s="122">
        <f t="shared" si="20"/>
        <v>0</v>
      </c>
      <c r="CO26" s="123">
        <f t="shared" si="37"/>
        <v>0</v>
      </c>
      <c r="CP26" s="156"/>
      <c r="CQ26" s="85">
        <v>-280</v>
      </c>
      <c r="CR26" s="124">
        <f t="shared" si="21"/>
        <v>0</v>
      </c>
      <c r="CT26" s="119">
        <v>1</v>
      </c>
      <c r="CU26" s="119">
        <f t="shared" si="38"/>
        <v>4.27</v>
      </c>
      <c r="CV26" s="120">
        <f t="shared" si="22"/>
        <v>0</v>
      </c>
      <c r="CW26" s="119"/>
      <c r="CX26" s="119"/>
    </row>
    <row r="27" spans="1:102" s="85" customFormat="1" ht="18" customHeight="1">
      <c r="A27" s="125" t="s">
        <v>105</v>
      </c>
      <c r="B27" s="140"/>
      <c r="C27" s="365"/>
      <c r="D27" s="358">
        <v>2.412144962181002</v>
      </c>
      <c r="E27" s="78"/>
      <c r="F27" s="79">
        <f t="shared" si="0"/>
        <v>0</v>
      </c>
      <c r="G27" s="418">
        <f t="shared" si="23"/>
      </c>
      <c r="H27" s="438" t="s">
        <v>106</v>
      </c>
      <c r="I27" s="163"/>
      <c r="J27" s="164"/>
      <c r="K27" s="533">
        <f>IF(J27=0,IF(I27=0,"","orná půda nehnojena"),IF(I27=0,"chybí aplikace celkem",IF(I27&lt;J27,"chyba","")))</f>
      </c>
      <c r="L27" s="533"/>
      <c r="M27" s="533"/>
      <c r="N27" s="533"/>
      <c r="O27" s="40"/>
      <c r="P27" s="40"/>
      <c r="Q27" s="40"/>
      <c r="R27" s="84"/>
      <c r="T27" s="83"/>
      <c r="V27" s="373">
        <f t="shared" si="2"/>
        <v>0</v>
      </c>
      <c r="Z27" s="89">
        <v>1</v>
      </c>
      <c r="AA27" s="90">
        <v>0.6</v>
      </c>
      <c r="AB27" s="91">
        <f t="shared" si="3"/>
        <v>0.6</v>
      </c>
      <c r="AC27" s="92">
        <f t="shared" si="4"/>
        <v>0.312</v>
      </c>
      <c r="AD27" s="93">
        <v>0.11</v>
      </c>
      <c r="AE27" s="94">
        <f t="shared" si="24"/>
        <v>0.3525641025641026</v>
      </c>
      <c r="AF27" s="95">
        <v>37</v>
      </c>
      <c r="AG27" s="95">
        <f>22*2.292</f>
        <v>50.42399999999999</v>
      </c>
      <c r="AH27" s="95">
        <f>6*1.204</f>
        <v>7.224</v>
      </c>
      <c r="AI27" s="96">
        <f>J27*AB27</f>
        <v>0</v>
      </c>
      <c r="AJ27" s="97">
        <f t="shared" si="25"/>
        <v>0</v>
      </c>
      <c r="AK27" s="98">
        <f t="shared" si="5"/>
        <v>0</v>
      </c>
      <c r="AL27" s="98">
        <f t="shared" si="5"/>
        <v>0</v>
      </c>
      <c r="AM27" s="98">
        <f t="shared" si="5"/>
        <v>0</v>
      </c>
      <c r="AP27" s="99">
        <v>1</v>
      </c>
      <c r="AR27" s="100">
        <f t="shared" si="41"/>
        <v>0</v>
      </c>
      <c r="AS27" s="101">
        <f t="shared" si="42"/>
        <v>0</v>
      </c>
      <c r="AT27" s="102">
        <f t="shared" si="8"/>
        <v>0</v>
      </c>
      <c r="AU27" s="100">
        <f t="shared" si="9"/>
        <v>0</v>
      </c>
      <c r="AV27" s="103">
        <v>0.8</v>
      </c>
      <c r="AW27" s="104">
        <f t="shared" si="26"/>
        <v>0.41600000000000004</v>
      </c>
      <c r="AX27" s="105">
        <v>0.1</v>
      </c>
      <c r="AY27" s="105">
        <f t="shared" si="27"/>
        <v>0.24038461538461536</v>
      </c>
      <c r="AZ27" s="106">
        <f t="shared" si="10"/>
        <v>0</v>
      </c>
      <c r="BA27" s="106" t="e">
        <f t="shared" si="28"/>
        <v>#DIV/0!</v>
      </c>
      <c r="BB27" s="107">
        <f t="shared" si="45"/>
        <v>0</v>
      </c>
      <c r="BC27" s="108">
        <v>1.5</v>
      </c>
      <c r="BD27" s="109">
        <f t="shared" si="11"/>
        <v>0</v>
      </c>
      <c r="BE27" s="108">
        <v>2</v>
      </c>
      <c r="BF27" s="109">
        <f t="shared" si="30"/>
        <v>0</v>
      </c>
      <c r="BG27" s="109">
        <f t="shared" si="31"/>
        <v>0</v>
      </c>
      <c r="BH27" s="110"/>
      <c r="BI27" s="165">
        <v>0.968</v>
      </c>
      <c r="BJ27" s="144">
        <f t="shared" si="32"/>
        <v>0.968</v>
      </c>
      <c r="BK27" s="112">
        <f t="shared" si="33"/>
        <v>0</v>
      </c>
      <c r="BL27" s="112">
        <f t="shared" si="33"/>
        <v>0</v>
      </c>
      <c r="BM27" s="114">
        <f t="shared" si="33"/>
        <v>0</v>
      </c>
      <c r="BN27" s="114">
        <f t="shared" si="34"/>
        <v>0</v>
      </c>
      <c r="BO27" s="114">
        <f t="shared" si="34"/>
        <v>0</v>
      </c>
      <c r="BP27" s="114">
        <f t="shared" si="34"/>
        <v>0</v>
      </c>
      <c r="BQ27" s="114">
        <f t="shared" si="12"/>
        <v>0</v>
      </c>
      <c r="BR27" s="115">
        <f t="shared" si="13"/>
        <v>0</v>
      </c>
      <c r="BS27" s="115">
        <f t="shared" si="14"/>
        <v>0</v>
      </c>
      <c r="BT27" s="115">
        <f t="shared" si="35"/>
        <v>0</v>
      </c>
      <c r="BU27" s="145"/>
      <c r="BV27" s="119">
        <v>54</v>
      </c>
      <c r="BW27" s="119">
        <v>16.5</v>
      </c>
      <c r="BX27" s="119">
        <v>22.5</v>
      </c>
      <c r="BY27" s="119">
        <v>10</v>
      </c>
      <c r="BZ27" s="119">
        <v>3</v>
      </c>
      <c r="CA27" s="119">
        <v>11.4</v>
      </c>
      <c r="CB27" s="100">
        <f t="shared" si="16"/>
        <v>0</v>
      </c>
      <c r="CC27" s="100">
        <f t="shared" si="17"/>
        <v>0</v>
      </c>
      <c r="CD27" s="100">
        <f t="shared" si="18"/>
        <v>0</v>
      </c>
      <c r="CE27" s="100">
        <f t="shared" si="44"/>
        <v>0</v>
      </c>
      <c r="CF27" s="100">
        <f t="shared" si="44"/>
        <v>0</v>
      </c>
      <c r="CG27" s="100">
        <f t="shared" si="44"/>
        <v>0</v>
      </c>
      <c r="CH27" s="117">
        <f t="shared" si="43"/>
        <v>64</v>
      </c>
      <c r="CI27" s="117">
        <f t="shared" si="43"/>
        <v>19.5</v>
      </c>
      <c r="CJ27" s="118">
        <f t="shared" si="43"/>
        <v>33.9</v>
      </c>
      <c r="CK27" s="119">
        <v>80</v>
      </c>
      <c r="CL27" s="120">
        <f t="shared" si="40"/>
        <v>0</v>
      </c>
      <c r="CM27" s="121">
        <v>-1.9</v>
      </c>
      <c r="CN27" s="122">
        <f t="shared" si="20"/>
        <v>0</v>
      </c>
      <c r="CO27" s="123">
        <f t="shared" si="37"/>
        <v>0</v>
      </c>
      <c r="CP27" s="156"/>
      <c r="CQ27" s="85">
        <v>-280</v>
      </c>
      <c r="CR27" s="124">
        <f t="shared" si="21"/>
        <v>0</v>
      </c>
      <c r="CT27" s="119">
        <v>1</v>
      </c>
      <c r="CU27" s="119">
        <f t="shared" si="38"/>
        <v>4.27</v>
      </c>
      <c r="CV27" s="120">
        <f t="shared" si="22"/>
        <v>0</v>
      </c>
      <c r="CW27" s="119"/>
      <c r="CX27" s="119"/>
    </row>
    <row r="28" spans="1:102" s="85" customFormat="1" ht="18" customHeight="1">
      <c r="A28" s="125" t="s">
        <v>107</v>
      </c>
      <c r="B28" s="140"/>
      <c r="C28" s="365"/>
      <c r="D28" s="358">
        <v>0.615225886597299</v>
      </c>
      <c r="E28" s="78"/>
      <c r="F28" s="79">
        <f t="shared" si="0"/>
        <v>0</v>
      </c>
      <c r="G28" s="418">
        <f t="shared" si="23"/>
      </c>
      <c r="H28" s="166" t="s">
        <v>108</v>
      </c>
      <c r="I28" s="457">
        <f>SUM(I7:I27)</f>
        <v>0</v>
      </c>
      <c r="J28" s="398">
        <f>SUM(J7:J27)</f>
        <v>0</v>
      </c>
      <c r="K28" s="545"/>
      <c r="L28" s="546"/>
      <c r="M28" s="546"/>
      <c r="N28" s="546"/>
      <c r="O28" s="546"/>
      <c r="P28" s="40"/>
      <c r="Q28" s="40"/>
      <c r="R28" s="84"/>
      <c r="V28" s="373">
        <f t="shared" si="2"/>
        <v>0</v>
      </c>
      <c r="AC28" s="84"/>
      <c r="AD28" s="84"/>
      <c r="AE28" s="84"/>
      <c r="AI28" s="167">
        <f>SUM(AI7:AI27)</f>
        <v>0</v>
      </c>
      <c r="AJ28" s="168">
        <f>SUM(AJ7:AJ27)</f>
        <v>0</v>
      </c>
      <c r="AK28" s="167">
        <f>SUM(AK7:AK27)</f>
        <v>0</v>
      </c>
      <c r="AL28" s="167">
        <f>SUM(AL7:AL27)</f>
        <v>0</v>
      </c>
      <c r="AM28" s="167">
        <f>SUM(AM7:AM27)</f>
        <v>0</v>
      </c>
      <c r="AP28" s="99">
        <v>2.8</v>
      </c>
      <c r="AR28" s="100">
        <f t="shared" si="41"/>
        <v>0</v>
      </c>
      <c r="AS28" s="101">
        <f t="shared" si="42"/>
        <v>0</v>
      </c>
      <c r="AT28" s="102">
        <f t="shared" si="8"/>
        <v>0</v>
      </c>
      <c r="AU28" s="100">
        <f t="shared" si="9"/>
        <v>0</v>
      </c>
      <c r="AV28" s="103">
        <v>0.8</v>
      </c>
      <c r="AW28" s="104">
        <f t="shared" si="26"/>
        <v>0.41600000000000004</v>
      </c>
      <c r="AX28" s="105">
        <v>0.1</v>
      </c>
      <c r="AY28" s="105">
        <f t="shared" si="27"/>
        <v>0.24038461538461536</v>
      </c>
      <c r="AZ28" s="106">
        <f t="shared" si="10"/>
        <v>0</v>
      </c>
      <c r="BA28" s="106" t="e">
        <f t="shared" si="28"/>
        <v>#DIV/0!</v>
      </c>
      <c r="BB28" s="107">
        <f t="shared" si="45"/>
        <v>0</v>
      </c>
      <c r="BC28" s="108">
        <v>1.5</v>
      </c>
      <c r="BD28" s="109">
        <f t="shared" si="11"/>
        <v>0</v>
      </c>
      <c r="BE28" s="108">
        <v>2</v>
      </c>
      <c r="BF28" s="109">
        <f t="shared" si="30"/>
        <v>0</v>
      </c>
      <c r="BG28" s="109">
        <f t="shared" si="31"/>
        <v>0</v>
      </c>
      <c r="BH28" s="110"/>
      <c r="BI28" s="110">
        <v>5.142</v>
      </c>
      <c r="BJ28" s="144">
        <f t="shared" si="32"/>
        <v>5.142</v>
      </c>
      <c r="BK28" s="112">
        <f t="shared" si="33"/>
        <v>0</v>
      </c>
      <c r="BL28" s="112">
        <f t="shared" si="33"/>
        <v>0</v>
      </c>
      <c r="BM28" s="114">
        <f t="shared" si="33"/>
        <v>0</v>
      </c>
      <c r="BN28" s="114">
        <f t="shared" si="34"/>
        <v>0</v>
      </c>
      <c r="BO28" s="114">
        <f t="shared" si="34"/>
        <v>0</v>
      </c>
      <c r="BP28" s="114">
        <f t="shared" si="34"/>
        <v>0</v>
      </c>
      <c r="BQ28" s="114">
        <f t="shared" si="12"/>
        <v>0</v>
      </c>
      <c r="BR28" s="115">
        <f t="shared" si="13"/>
        <v>0</v>
      </c>
      <c r="BS28" s="115">
        <f t="shared" si="14"/>
        <v>0</v>
      </c>
      <c r="BT28" s="115">
        <f t="shared" si="35"/>
        <v>0</v>
      </c>
      <c r="BU28" s="145"/>
      <c r="BV28" s="119">
        <v>32.5</v>
      </c>
      <c r="BW28" s="119">
        <v>17.2</v>
      </c>
      <c r="BX28" s="119">
        <v>9.6</v>
      </c>
      <c r="BY28" s="119">
        <v>9</v>
      </c>
      <c r="BZ28" s="119">
        <v>2.3</v>
      </c>
      <c r="CA28" s="119">
        <v>24.1</v>
      </c>
      <c r="CB28" s="100">
        <f t="shared" si="16"/>
        <v>0</v>
      </c>
      <c r="CC28" s="100">
        <f t="shared" si="17"/>
        <v>0</v>
      </c>
      <c r="CD28" s="100">
        <f t="shared" si="18"/>
        <v>0</v>
      </c>
      <c r="CE28" s="100">
        <f t="shared" si="44"/>
        <v>0</v>
      </c>
      <c r="CF28" s="100">
        <f t="shared" si="44"/>
        <v>0</v>
      </c>
      <c r="CG28" s="100">
        <f t="shared" si="44"/>
        <v>0</v>
      </c>
      <c r="CH28" s="117">
        <f t="shared" si="43"/>
        <v>57.7</v>
      </c>
      <c r="CI28" s="117">
        <f t="shared" si="43"/>
        <v>23.64</v>
      </c>
      <c r="CJ28" s="118">
        <f t="shared" si="43"/>
        <v>77.08</v>
      </c>
      <c r="CK28" s="119"/>
      <c r="CL28" s="120">
        <f t="shared" si="40"/>
        <v>0</v>
      </c>
      <c r="CM28" s="121">
        <v>-1.9</v>
      </c>
      <c r="CN28" s="122">
        <f t="shared" si="20"/>
        <v>0</v>
      </c>
      <c r="CO28" s="123">
        <f t="shared" si="37"/>
        <v>0</v>
      </c>
      <c r="CP28" s="156"/>
      <c r="CQ28" s="85">
        <v>-280</v>
      </c>
      <c r="CR28" s="124">
        <f t="shared" si="21"/>
        <v>0</v>
      </c>
      <c r="CT28" s="119">
        <v>1.1</v>
      </c>
      <c r="CU28" s="119">
        <f t="shared" si="38"/>
        <v>4.697</v>
      </c>
      <c r="CV28" s="120">
        <f t="shared" si="22"/>
        <v>0</v>
      </c>
      <c r="CW28" s="119"/>
      <c r="CX28" s="119"/>
    </row>
    <row r="29" spans="1:102" s="85" customFormat="1" ht="18" customHeight="1">
      <c r="A29" s="125" t="s">
        <v>109</v>
      </c>
      <c r="B29" s="140"/>
      <c r="C29" s="365"/>
      <c r="D29" s="358">
        <v>0.8069416114443058</v>
      </c>
      <c r="E29" s="78"/>
      <c r="F29" s="79">
        <f t="shared" si="0"/>
        <v>0</v>
      </c>
      <c r="G29" s="418">
        <f t="shared" si="23"/>
      </c>
      <c r="H29" s="456"/>
      <c r="I29" s="559" t="s">
        <v>305</v>
      </c>
      <c r="J29" s="559"/>
      <c r="K29" s="559"/>
      <c r="L29" s="490"/>
      <c r="M29" s="547" t="s">
        <v>304</v>
      </c>
      <c r="N29" s="547"/>
      <c r="O29" s="547"/>
      <c r="P29" s="40"/>
      <c r="Q29" s="40"/>
      <c r="R29" s="84"/>
      <c r="V29" s="373">
        <f t="shared" si="2"/>
        <v>0</v>
      </c>
      <c r="AC29" s="84"/>
      <c r="AD29" s="84"/>
      <c r="AE29" s="84"/>
      <c r="AI29" s="169">
        <f>IF(B49=0,0,AI28/$B49)</f>
        <v>0</v>
      </c>
      <c r="AJ29" s="170">
        <f>IF(B49=0,0,AJ28/$B49)</f>
        <v>0</v>
      </c>
      <c r="AP29" s="99">
        <v>1.5</v>
      </c>
      <c r="AR29" s="100">
        <f t="shared" si="41"/>
        <v>0</v>
      </c>
      <c r="AS29" s="101">
        <f t="shared" si="42"/>
        <v>0</v>
      </c>
      <c r="AT29" s="102">
        <f t="shared" si="8"/>
        <v>0</v>
      </c>
      <c r="AU29" s="100">
        <f t="shared" si="9"/>
        <v>0</v>
      </c>
      <c r="AV29" s="103">
        <v>0.8</v>
      </c>
      <c r="AW29" s="104">
        <f t="shared" si="26"/>
        <v>0.41600000000000004</v>
      </c>
      <c r="AX29" s="105">
        <v>0.1</v>
      </c>
      <c r="AY29" s="105">
        <f t="shared" si="27"/>
        <v>0.24038461538461536</v>
      </c>
      <c r="AZ29" s="106">
        <f t="shared" si="10"/>
        <v>0</v>
      </c>
      <c r="BA29" s="106" t="e">
        <f t="shared" si="28"/>
        <v>#DIV/0!</v>
      </c>
      <c r="BB29" s="107">
        <f t="shared" si="45"/>
        <v>0</v>
      </c>
      <c r="BC29" s="108">
        <v>1.5</v>
      </c>
      <c r="BD29" s="109">
        <f t="shared" si="11"/>
        <v>0</v>
      </c>
      <c r="BE29" s="108">
        <v>2</v>
      </c>
      <c r="BF29" s="109">
        <f t="shared" si="30"/>
        <v>0</v>
      </c>
      <c r="BG29" s="109">
        <f t="shared" si="31"/>
        <v>0</v>
      </c>
      <c r="BH29" s="110"/>
      <c r="BI29" s="110">
        <v>4.354</v>
      </c>
      <c r="BJ29" s="144">
        <f t="shared" si="32"/>
        <v>4.354</v>
      </c>
      <c r="BK29" s="112">
        <f t="shared" si="33"/>
        <v>0</v>
      </c>
      <c r="BL29" s="112">
        <f t="shared" si="33"/>
        <v>0</v>
      </c>
      <c r="BM29" s="114">
        <f t="shared" si="33"/>
        <v>0</v>
      </c>
      <c r="BN29" s="114">
        <f t="shared" si="34"/>
        <v>0</v>
      </c>
      <c r="BO29" s="114">
        <f t="shared" si="34"/>
        <v>0</v>
      </c>
      <c r="BP29" s="114">
        <f t="shared" si="34"/>
        <v>0</v>
      </c>
      <c r="BQ29" s="114">
        <f t="shared" si="12"/>
        <v>0</v>
      </c>
      <c r="BR29" s="115">
        <f t="shared" si="13"/>
        <v>0</v>
      </c>
      <c r="BS29" s="115">
        <f t="shared" si="14"/>
        <v>0</v>
      </c>
      <c r="BT29" s="115">
        <f t="shared" si="35"/>
        <v>0</v>
      </c>
      <c r="BU29" s="145"/>
      <c r="BV29" s="119">
        <v>50</v>
      </c>
      <c r="BW29" s="119">
        <v>17.6</v>
      </c>
      <c r="BX29" s="119">
        <v>9.3</v>
      </c>
      <c r="BY29" s="119">
        <v>7</v>
      </c>
      <c r="BZ29" s="119">
        <v>3.9</v>
      </c>
      <c r="CA29" s="119">
        <v>25</v>
      </c>
      <c r="CB29" s="100">
        <f t="shared" si="16"/>
        <v>0</v>
      </c>
      <c r="CC29" s="100">
        <f t="shared" si="17"/>
        <v>0</v>
      </c>
      <c r="CD29" s="100">
        <f t="shared" si="18"/>
        <v>0</v>
      </c>
      <c r="CE29" s="100">
        <f t="shared" si="44"/>
        <v>0</v>
      </c>
      <c r="CF29" s="100">
        <f t="shared" si="44"/>
        <v>0</v>
      </c>
      <c r="CG29" s="100">
        <f t="shared" si="44"/>
        <v>0</v>
      </c>
      <c r="CH29" s="117">
        <f t="shared" si="43"/>
        <v>60.5</v>
      </c>
      <c r="CI29" s="117">
        <f t="shared" si="43"/>
        <v>23.450000000000003</v>
      </c>
      <c r="CJ29" s="118">
        <f t="shared" si="43"/>
        <v>46.8</v>
      </c>
      <c r="CK29" s="119"/>
      <c r="CL29" s="120">
        <f t="shared" si="40"/>
        <v>0</v>
      </c>
      <c r="CM29" s="121">
        <v>-1.9</v>
      </c>
      <c r="CN29" s="122">
        <f t="shared" si="20"/>
        <v>0</v>
      </c>
      <c r="CO29" s="123">
        <f t="shared" si="37"/>
        <v>0</v>
      </c>
      <c r="CP29" s="156"/>
      <c r="CQ29" s="85">
        <v>-280</v>
      </c>
      <c r="CR29" s="124">
        <f t="shared" si="21"/>
        <v>0</v>
      </c>
      <c r="CT29" s="119">
        <v>1</v>
      </c>
      <c r="CU29" s="119">
        <f t="shared" si="38"/>
        <v>4.27</v>
      </c>
      <c r="CV29" s="120">
        <f t="shared" si="22"/>
        <v>0</v>
      </c>
      <c r="CW29" s="119"/>
      <c r="CX29" s="119"/>
    </row>
    <row r="30" spans="1:102" s="85" customFormat="1" ht="18" customHeight="1">
      <c r="A30" s="125" t="s">
        <v>275</v>
      </c>
      <c r="B30" s="140"/>
      <c r="C30" s="365"/>
      <c r="D30" s="358">
        <v>1.3641131374143338</v>
      </c>
      <c r="E30" s="78"/>
      <c r="F30" s="79">
        <f t="shared" si="0"/>
        <v>0</v>
      </c>
      <c r="G30" s="418">
        <f t="shared" si="23"/>
      </c>
      <c r="H30" s="166" t="s">
        <v>112</v>
      </c>
      <c r="I30" s="436" t="s">
        <v>227</v>
      </c>
      <c r="J30" s="436" t="s">
        <v>264</v>
      </c>
      <c r="K30" s="436" t="s">
        <v>265</v>
      </c>
      <c r="M30" s="436" t="s">
        <v>227</v>
      </c>
      <c r="N30" s="436" t="s">
        <v>264</v>
      </c>
      <c r="O30" s="436" t="s">
        <v>265</v>
      </c>
      <c r="P30" s="40"/>
      <c r="Q30" s="40"/>
      <c r="R30" s="84"/>
      <c r="V30" s="373">
        <f t="shared" si="2"/>
        <v>0</v>
      </c>
      <c r="AC30" s="84"/>
      <c r="AD30" s="84"/>
      <c r="AE30" s="84"/>
      <c r="AI30" s="171" t="s">
        <v>110</v>
      </c>
      <c r="AJ30" s="171"/>
      <c r="AK30" s="172">
        <f>IF($B56=0,0,AK28/$B56)</f>
        <v>0</v>
      </c>
      <c r="AL30" s="172">
        <f>IF($B56=0,0,AL28/$B56)</f>
        <v>0</v>
      </c>
      <c r="AM30" s="172">
        <f>IF($B56=0,0,AM28/$B56)</f>
        <v>0</v>
      </c>
      <c r="AP30" s="99">
        <v>1.5</v>
      </c>
      <c r="AR30" s="100">
        <f t="shared" si="41"/>
        <v>0</v>
      </c>
      <c r="AS30" s="101">
        <f t="shared" si="42"/>
        <v>0</v>
      </c>
      <c r="AT30" s="102">
        <f t="shared" si="8"/>
        <v>0</v>
      </c>
      <c r="AU30" s="100">
        <f t="shared" si="9"/>
        <v>0</v>
      </c>
      <c r="AV30" s="103">
        <v>0.8</v>
      </c>
      <c r="AW30" s="104">
        <f t="shared" si="26"/>
        <v>0.41600000000000004</v>
      </c>
      <c r="AX30" s="105">
        <v>0.1</v>
      </c>
      <c r="AY30" s="105">
        <f t="shared" si="27"/>
        <v>0.24038461538461536</v>
      </c>
      <c r="AZ30" s="106">
        <f t="shared" si="10"/>
        <v>0</v>
      </c>
      <c r="BA30" s="106" t="e">
        <f t="shared" si="28"/>
        <v>#DIV/0!</v>
      </c>
      <c r="BB30" s="107">
        <f t="shared" si="45"/>
        <v>0</v>
      </c>
      <c r="BC30" s="108">
        <v>1.5</v>
      </c>
      <c r="BD30" s="109">
        <f t="shared" si="11"/>
        <v>0</v>
      </c>
      <c r="BE30" s="108">
        <v>2</v>
      </c>
      <c r="BF30" s="109">
        <f t="shared" si="30"/>
        <v>0</v>
      </c>
      <c r="BG30" s="109">
        <f t="shared" si="31"/>
        <v>0</v>
      </c>
      <c r="BH30" s="110"/>
      <c r="BI30" s="110">
        <v>1.35</v>
      </c>
      <c r="BJ30" s="144">
        <f t="shared" si="32"/>
        <v>1.35</v>
      </c>
      <c r="BK30" s="112">
        <f t="shared" si="33"/>
        <v>0</v>
      </c>
      <c r="BL30" s="112">
        <f t="shared" si="33"/>
        <v>0</v>
      </c>
      <c r="BM30" s="114">
        <f t="shared" si="33"/>
        <v>0</v>
      </c>
      <c r="BN30" s="114">
        <f t="shared" si="34"/>
        <v>0</v>
      </c>
      <c r="BO30" s="114">
        <f t="shared" si="34"/>
        <v>0</v>
      </c>
      <c r="BP30" s="114">
        <f t="shared" si="34"/>
        <v>0</v>
      </c>
      <c r="BQ30" s="114">
        <f t="shared" si="12"/>
        <v>0</v>
      </c>
      <c r="BR30" s="115">
        <f t="shared" si="13"/>
        <v>0</v>
      </c>
      <c r="BS30" s="115">
        <f t="shared" si="14"/>
        <v>0</v>
      </c>
      <c r="BT30" s="115">
        <f t="shared" si="35"/>
        <v>0</v>
      </c>
      <c r="BU30" s="145"/>
      <c r="BV30" s="119">
        <v>32.9</v>
      </c>
      <c r="BW30" s="119">
        <v>14.9</v>
      </c>
      <c r="BX30" s="119">
        <v>9.8</v>
      </c>
      <c r="BY30" s="119">
        <v>5.3</v>
      </c>
      <c r="BZ30" s="119">
        <v>3.1</v>
      </c>
      <c r="CA30" s="119">
        <v>14.4</v>
      </c>
      <c r="CB30" s="100">
        <f t="shared" si="16"/>
        <v>0</v>
      </c>
      <c r="CC30" s="100">
        <f t="shared" si="17"/>
        <v>0</v>
      </c>
      <c r="CD30" s="100">
        <f t="shared" si="18"/>
        <v>0</v>
      </c>
      <c r="CE30" s="100">
        <f t="shared" si="44"/>
        <v>0</v>
      </c>
      <c r="CF30" s="100">
        <f t="shared" si="44"/>
        <v>0</v>
      </c>
      <c r="CG30" s="100">
        <f t="shared" si="44"/>
        <v>0</v>
      </c>
      <c r="CH30" s="117">
        <f t="shared" si="43"/>
        <v>40.849999999999994</v>
      </c>
      <c r="CI30" s="117">
        <f t="shared" si="43"/>
        <v>19.55</v>
      </c>
      <c r="CJ30" s="118">
        <f t="shared" si="43"/>
        <v>31.400000000000002</v>
      </c>
      <c r="CK30" s="119"/>
      <c r="CL30" s="120">
        <f t="shared" si="40"/>
        <v>0</v>
      </c>
      <c r="CM30" s="121">
        <v>-1.9</v>
      </c>
      <c r="CN30" s="122">
        <f t="shared" si="20"/>
        <v>0</v>
      </c>
      <c r="CO30" s="123">
        <f t="shared" si="37"/>
        <v>0</v>
      </c>
      <c r="CP30" s="156"/>
      <c r="CQ30" s="85">
        <v>-280</v>
      </c>
      <c r="CR30" s="124">
        <f t="shared" si="21"/>
        <v>0</v>
      </c>
      <c r="CT30" s="119">
        <v>1</v>
      </c>
      <c r="CU30" s="119">
        <f t="shared" si="38"/>
        <v>4.27</v>
      </c>
      <c r="CV30" s="120">
        <f t="shared" si="22"/>
        <v>0</v>
      </c>
      <c r="CW30" s="119"/>
      <c r="CX30" s="119"/>
    </row>
    <row r="31" spans="1:102" s="85" customFormat="1" ht="18" customHeight="1">
      <c r="A31" s="125" t="s">
        <v>111</v>
      </c>
      <c r="B31" s="140"/>
      <c r="C31" s="365"/>
      <c r="D31" s="358">
        <v>0.5060262472477925</v>
      </c>
      <c r="E31" s="78"/>
      <c r="F31" s="79">
        <f t="shared" si="0"/>
        <v>0</v>
      </c>
      <c r="G31" s="418">
        <f t="shared" si="23"/>
      </c>
      <c r="H31" s="132" t="s">
        <v>283</v>
      </c>
      <c r="I31" s="435">
        <f>'přepočet ze hnojiv na živiny'!K86</f>
        <v>0</v>
      </c>
      <c r="J31" s="435">
        <f>'přepočet ze hnojiv na živiny'!L86</f>
        <v>0</v>
      </c>
      <c r="K31" s="435">
        <f>'přepočet ze hnojiv na živiny'!M86</f>
        <v>0</v>
      </c>
      <c r="L31" s="489"/>
      <c r="M31" s="511"/>
      <c r="N31" s="511"/>
      <c r="O31" s="511"/>
      <c r="P31" s="40"/>
      <c r="Q31" s="40"/>
      <c r="R31" s="84"/>
      <c r="V31" s="373">
        <f t="shared" si="2"/>
        <v>0</v>
      </c>
      <c r="AC31" s="84"/>
      <c r="AD31" s="84"/>
      <c r="AE31" s="84"/>
      <c r="AI31" s="85" t="s">
        <v>113</v>
      </c>
      <c r="AK31" s="124">
        <f>I31*1000</f>
        <v>0</v>
      </c>
      <c r="AL31" s="124">
        <f>J31*1000</f>
        <v>0</v>
      </c>
      <c r="AM31" s="124">
        <f>K31*1000</f>
        <v>0</v>
      </c>
      <c r="AP31" s="99">
        <v>1.5</v>
      </c>
      <c r="AR31" s="100">
        <f t="shared" si="41"/>
        <v>0</v>
      </c>
      <c r="AS31" s="101">
        <f t="shared" si="42"/>
        <v>0</v>
      </c>
      <c r="AT31" s="102">
        <f t="shared" si="8"/>
        <v>0</v>
      </c>
      <c r="AU31" s="100">
        <f t="shared" si="9"/>
        <v>0</v>
      </c>
      <c r="AV31" s="103">
        <v>0.8</v>
      </c>
      <c r="AW31" s="104">
        <f t="shared" si="26"/>
        <v>0.41600000000000004</v>
      </c>
      <c r="AX31" s="105">
        <v>0.1</v>
      </c>
      <c r="AY31" s="105">
        <f t="shared" si="27"/>
        <v>0.24038461538461536</v>
      </c>
      <c r="AZ31" s="106">
        <f t="shared" si="10"/>
        <v>0</v>
      </c>
      <c r="BA31" s="106" t="e">
        <f t="shared" si="28"/>
        <v>#DIV/0!</v>
      </c>
      <c r="BB31" s="107">
        <f t="shared" si="45"/>
        <v>0</v>
      </c>
      <c r="BC31" s="108">
        <v>1.5</v>
      </c>
      <c r="BD31" s="109">
        <f t="shared" si="11"/>
        <v>0</v>
      </c>
      <c r="BE31" s="108">
        <v>2</v>
      </c>
      <c r="BF31" s="109">
        <f t="shared" si="30"/>
        <v>0</v>
      </c>
      <c r="BG31" s="109">
        <f t="shared" si="31"/>
        <v>0</v>
      </c>
      <c r="BH31" s="110"/>
      <c r="BI31" s="110">
        <v>1.253</v>
      </c>
      <c r="BJ31" s="144">
        <f t="shared" si="32"/>
        <v>1.253</v>
      </c>
      <c r="BK31" s="112">
        <f t="shared" si="33"/>
        <v>0</v>
      </c>
      <c r="BL31" s="112">
        <f t="shared" si="33"/>
        <v>0</v>
      </c>
      <c r="BM31" s="114">
        <f t="shared" si="33"/>
        <v>0</v>
      </c>
      <c r="BN31" s="114">
        <f t="shared" si="34"/>
        <v>0</v>
      </c>
      <c r="BO31" s="114">
        <f t="shared" si="34"/>
        <v>0</v>
      </c>
      <c r="BP31" s="114">
        <f t="shared" si="34"/>
        <v>0</v>
      </c>
      <c r="BQ31" s="114">
        <f t="shared" si="12"/>
        <v>0</v>
      </c>
      <c r="BR31" s="115">
        <f t="shared" si="13"/>
        <v>0</v>
      </c>
      <c r="BS31" s="115">
        <f t="shared" si="14"/>
        <v>0</v>
      </c>
      <c r="BT31" s="115">
        <f t="shared" si="35"/>
        <v>0</v>
      </c>
      <c r="BU31" s="145"/>
      <c r="BV31" s="119">
        <v>32.9</v>
      </c>
      <c r="BW31" s="119">
        <v>14.9</v>
      </c>
      <c r="BX31" s="119">
        <v>9.8</v>
      </c>
      <c r="BY31" s="119">
        <v>5.3</v>
      </c>
      <c r="BZ31" s="119">
        <v>3.1</v>
      </c>
      <c r="CA31" s="119">
        <v>14.4</v>
      </c>
      <c r="CB31" s="100">
        <f t="shared" si="16"/>
        <v>0</v>
      </c>
      <c r="CC31" s="100">
        <f t="shared" si="17"/>
        <v>0</v>
      </c>
      <c r="CD31" s="100">
        <f t="shared" si="18"/>
        <v>0</v>
      </c>
      <c r="CE31" s="100">
        <f t="shared" si="44"/>
        <v>0</v>
      </c>
      <c r="CF31" s="100">
        <f t="shared" si="44"/>
        <v>0</v>
      </c>
      <c r="CG31" s="100">
        <f t="shared" si="44"/>
        <v>0</v>
      </c>
      <c r="CH31" s="117">
        <f t="shared" si="43"/>
        <v>40.849999999999994</v>
      </c>
      <c r="CI31" s="117">
        <f t="shared" si="43"/>
        <v>19.55</v>
      </c>
      <c r="CJ31" s="118">
        <f t="shared" si="43"/>
        <v>31.400000000000002</v>
      </c>
      <c r="CK31" s="119"/>
      <c r="CL31" s="120">
        <f t="shared" si="40"/>
        <v>0</v>
      </c>
      <c r="CM31" s="121">
        <v>-1.9</v>
      </c>
      <c r="CN31" s="122">
        <f t="shared" si="20"/>
        <v>0</v>
      </c>
      <c r="CO31" s="123">
        <f t="shared" si="37"/>
        <v>0</v>
      </c>
      <c r="CP31" s="156"/>
      <c r="CQ31" s="85">
        <v>-280</v>
      </c>
      <c r="CR31" s="124">
        <f t="shared" si="21"/>
        <v>0</v>
      </c>
      <c r="CT31" s="119">
        <v>1</v>
      </c>
      <c r="CU31" s="119">
        <f t="shared" si="38"/>
        <v>4.27</v>
      </c>
      <c r="CV31" s="120">
        <f t="shared" si="22"/>
        <v>0</v>
      </c>
      <c r="CW31" s="119"/>
      <c r="CX31" s="119"/>
    </row>
    <row r="32" spans="1:102" s="85" customFormat="1" ht="18" customHeight="1">
      <c r="A32" s="125" t="s">
        <v>114</v>
      </c>
      <c r="B32" s="140"/>
      <c r="C32" s="365"/>
      <c r="D32" s="358">
        <v>0.8192508481130584</v>
      </c>
      <c r="E32" s="173"/>
      <c r="F32" s="174"/>
      <c r="G32" s="418">
        <f t="shared" si="23"/>
      </c>
      <c r="H32" s="504" t="s">
        <v>282</v>
      </c>
      <c r="I32" s="506">
        <f>IF(M31=0,IF(I42="",I31,IF(I31&lt;I41,"0",I31-I41)),"")</f>
        <v>0</v>
      </c>
      <c r="J32" s="507">
        <f>IF(N31=0,IF(J42="",J31,J31+J41*-1),"")</f>
        <v>0</v>
      </c>
      <c r="K32" s="507">
        <f>IF(O31=0,IF(K42="",K31,K31+K41*-1),"")</f>
        <v>0</v>
      </c>
      <c r="L32" s="508"/>
      <c r="M32" s="506">
        <f>IF(M31=0,"",IF(I42="",M31,IF(M31&lt;I41,"0",M31-I41)))</f>
      </c>
      <c r="N32" s="506">
        <f>IF(N31=0,"",IF(J42="",N31,N31+J41*-1))</f>
      </c>
      <c r="O32" s="506">
        <f>IF(O31=0,"",IF(K42="",O31,O31+K41*-1))</f>
      </c>
      <c r="P32" s="40"/>
      <c r="Q32" s="40"/>
      <c r="R32" s="84"/>
      <c r="V32" s="373">
        <f t="shared" si="2"/>
        <v>0</v>
      </c>
      <c r="AI32" s="176" t="s">
        <v>113</v>
      </c>
      <c r="AJ32" s="176"/>
      <c r="AK32" s="177">
        <f>IF($B56=0,0,AK31/$B56)</f>
        <v>0</v>
      </c>
      <c r="AL32" s="177">
        <f>IF($B56=0,0,AL31/$B56)</f>
        <v>0</v>
      </c>
      <c r="AM32" s="177">
        <f>IF($B56=0,0,AM31/$B56)</f>
        <v>0</v>
      </c>
      <c r="AP32" s="178"/>
      <c r="AR32" s="100">
        <f t="shared" si="41"/>
        <v>0</v>
      </c>
      <c r="AS32" s="101">
        <f t="shared" si="42"/>
        <v>0</v>
      </c>
      <c r="AT32" s="102">
        <f t="shared" si="8"/>
        <v>0</v>
      </c>
      <c r="AU32" s="150"/>
      <c r="AV32" s="179"/>
      <c r="AW32" s="180"/>
      <c r="AX32" s="141"/>
      <c r="AY32" s="141"/>
      <c r="AZ32" s="181"/>
      <c r="BA32" s="150"/>
      <c r="BB32" s="142"/>
      <c r="BC32" s="182"/>
      <c r="BD32" s="183"/>
      <c r="BE32" s="182"/>
      <c r="BF32" s="183"/>
      <c r="BG32" s="109">
        <f t="shared" si="31"/>
        <v>0</v>
      </c>
      <c r="BH32" s="110"/>
      <c r="BI32" s="110"/>
      <c r="BJ32" s="144">
        <f t="shared" si="32"/>
        <v>0</v>
      </c>
      <c r="BK32" s="112">
        <f t="shared" si="33"/>
        <v>0</v>
      </c>
      <c r="BL32" s="112">
        <f t="shared" si="33"/>
        <v>0</v>
      </c>
      <c r="BM32" s="114">
        <f t="shared" si="33"/>
        <v>0</v>
      </c>
      <c r="BN32" s="114">
        <f t="shared" si="34"/>
        <v>0</v>
      </c>
      <c r="BO32" s="114">
        <f t="shared" si="34"/>
        <v>0</v>
      </c>
      <c r="BP32" s="114">
        <f t="shared" si="34"/>
        <v>0</v>
      </c>
      <c r="BQ32" s="114">
        <f t="shared" si="12"/>
        <v>0</v>
      </c>
      <c r="BR32" s="115">
        <f t="shared" si="13"/>
        <v>0</v>
      </c>
      <c r="BS32" s="115">
        <f t="shared" si="14"/>
        <v>0</v>
      </c>
      <c r="BT32" s="115">
        <f t="shared" si="35"/>
        <v>0</v>
      </c>
      <c r="BU32" s="145"/>
      <c r="BV32" s="184">
        <v>5.5</v>
      </c>
      <c r="BW32" s="185">
        <f>1.2*2.92</f>
        <v>3.504</v>
      </c>
      <c r="BX32" s="185">
        <f>8.3*1.204</f>
        <v>9.9932</v>
      </c>
      <c r="BY32" s="186"/>
      <c r="BZ32" s="186"/>
      <c r="CA32" s="186"/>
      <c r="CB32" s="100">
        <f t="shared" si="16"/>
        <v>0</v>
      </c>
      <c r="CC32" s="100">
        <f t="shared" si="17"/>
        <v>0</v>
      </c>
      <c r="CD32" s="100">
        <f t="shared" si="18"/>
        <v>0</v>
      </c>
      <c r="CE32" s="100">
        <f t="shared" si="44"/>
        <v>0</v>
      </c>
      <c r="CF32" s="100">
        <f t="shared" si="44"/>
        <v>0</v>
      </c>
      <c r="CG32" s="100">
        <f t="shared" si="44"/>
        <v>0</v>
      </c>
      <c r="CH32" s="117">
        <f>BV32</f>
        <v>5.5</v>
      </c>
      <c r="CI32" s="117">
        <f>BW32</f>
        <v>3.504</v>
      </c>
      <c r="CJ32" s="117">
        <f>BX32</f>
        <v>9.9932</v>
      </c>
      <c r="CK32" s="119"/>
      <c r="CL32" s="120">
        <f t="shared" si="40"/>
        <v>0</v>
      </c>
      <c r="CM32" s="121">
        <v>-1.9</v>
      </c>
      <c r="CN32" s="122">
        <f t="shared" si="20"/>
        <v>0</v>
      </c>
      <c r="CO32" s="123">
        <f t="shared" si="37"/>
        <v>0</v>
      </c>
      <c r="CP32" s="156"/>
      <c r="CQ32" s="85">
        <v>-280</v>
      </c>
      <c r="CR32" s="124">
        <f t="shared" si="21"/>
        <v>0</v>
      </c>
      <c r="CT32" s="119">
        <v>1</v>
      </c>
      <c r="CU32" s="119">
        <f t="shared" si="38"/>
        <v>4.27</v>
      </c>
      <c r="CV32" s="120">
        <f t="shared" si="22"/>
        <v>0</v>
      </c>
      <c r="CW32" s="119"/>
      <c r="CX32" s="119"/>
    </row>
    <row r="33" spans="1:102" s="85" customFormat="1" ht="18" customHeight="1">
      <c r="A33" s="125" t="s">
        <v>266</v>
      </c>
      <c r="B33" s="140"/>
      <c r="C33" s="365"/>
      <c r="D33" s="358">
        <v>0.82</v>
      </c>
      <c r="E33" s="173"/>
      <c r="F33" s="174"/>
      <c r="G33" s="418">
        <f t="shared" si="23"/>
      </c>
      <c r="H33" s="378" t="s">
        <v>272</v>
      </c>
      <c r="I33" s="387" t="s">
        <v>227</v>
      </c>
      <c r="J33" s="387" t="s">
        <v>262</v>
      </c>
      <c r="K33" s="387" t="s">
        <v>263</v>
      </c>
      <c r="L33" s="422"/>
      <c r="M33" s="458" t="s">
        <v>319</v>
      </c>
      <c r="N33" s="459"/>
      <c r="O33" s="460"/>
      <c r="P33" s="40"/>
      <c r="Q33" s="40"/>
      <c r="R33" s="84"/>
      <c r="V33" s="373">
        <f t="shared" si="2"/>
        <v>0</v>
      </c>
      <c r="AI33" s="85" t="s">
        <v>115</v>
      </c>
      <c r="AK33" s="167">
        <f>AK28+I31*1000</f>
        <v>0</v>
      </c>
      <c r="AL33" s="167">
        <f>AL28+J31*1000</f>
        <v>0</v>
      </c>
      <c r="AM33" s="167">
        <f>AM28+K31*1000</f>
        <v>0</v>
      </c>
      <c r="AP33" s="99">
        <v>2.8</v>
      </c>
      <c r="AR33" s="100">
        <f t="shared" si="41"/>
        <v>0</v>
      </c>
      <c r="AS33" s="101">
        <f t="shared" si="42"/>
        <v>0</v>
      </c>
      <c r="AT33" s="102">
        <f t="shared" si="8"/>
        <v>0</v>
      </c>
      <c r="AU33" s="100">
        <f>C33*AP33*AT33</f>
        <v>0</v>
      </c>
      <c r="AV33" s="103">
        <v>0.8</v>
      </c>
      <c r="AW33" s="104">
        <f t="shared" si="26"/>
        <v>0.41600000000000004</v>
      </c>
      <c r="AX33" s="141"/>
      <c r="AY33" s="141"/>
      <c r="AZ33" s="106">
        <f>AU33*AV33</f>
        <v>0</v>
      </c>
      <c r="BA33" s="100"/>
      <c r="BB33" s="107">
        <f t="shared" si="45"/>
        <v>0</v>
      </c>
      <c r="BC33" s="108"/>
      <c r="BD33" s="109"/>
      <c r="BE33" s="108"/>
      <c r="BF33" s="109"/>
      <c r="BG33" s="109">
        <f t="shared" si="31"/>
        <v>0</v>
      </c>
      <c r="BH33" s="110"/>
      <c r="BI33" s="110"/>
      <c r="BJ33" s="144">
        <f t="shared" si="32"/>
        <v>0</v>
      </c>
      <c r="BK33" s="112">
        <f t="shared" si="33"/>
        <v>0</v>
      </c>
      <c r="BL33" s="112">
        <f t="shared" si="33"/>
        <v>0</v>
      </c>
      <c r="BM33" s="114">
        <f t="shared" si="33"/>
        <v>0</v>
      </c>
      <c r="BN33" s="114">
        <f t="shared" si="34"/>
        <v>0</v>
      </c>
      <c r="BO33" s="114">
        <f t="shared" si="34"/>
        <v>0</v>
      </c>
      <c r="BP33" s="114">
        <f t="shared" si="34"/>
        <v>0</v>
      </c>
      <c r="BQ33" s="114">
        <f t="shared" si="12"/>
        <v>0</v>
      </c>
      <c r="BR33" s="115">
        <f t="shared" si="13"/>
        <v>0</v>
      </c>
      <c r="BS33" s="115">
        <f t="shared" si="14"/>
        <v>0</v>
      </c>
      <c r="BT33" s="115">
        <f t="shared" si="35"/>
        <v>0</v>
      </c>
      <c r="BU33" s="145"/>
      <c r="BV33" s="184">
        <v>32.5</v>
      </c>
      <c r="BW33" s="184">
        <v>17.2</v>
      </c>
      <c r="BX33" s="184">
        <v>9.6</v>
      </c>
      <c r="BY33" s="119">
        <v>9</v>
      </c>
      <c r="BZ33" s="119">
        <v>2.3</v>
      </c>
      <c r="CA33" s="119">
        <v>24.1</v>
      </c>
      <c r="CB33" s="100">
        <f t="shared" si="16"/>
        <v>0</v>
      </c>
      <c r="CC33" s="100">
        <f t="shared" si="17"/>
        <v>0</v>
      </c>
      <c r="CD33" s="100">
        <f t="shared" si="18"/>
        <v>0</v>
      </c>
      <c r="CE33" s="100">
        <f t="shared" si="44"/>
        <v>0</v>
      </c>
      <c r="CF33" s="100">
        <f t="shared" si="44"/>
        <v>0</v>
      </c>
      <c r="CG33" s="100">
        <f t="shared" si="44"/>
        <v>0</v>
      </c>
      <c r="CH33" s="117">
        <f>BV33+$AP33*BY33</f>
        <v>57.7</v>
      </c>
      <c r="CI33" s="117">
        <f>BW33+$AP33*BZ33</f>
        <v>23.64</v>
      </c>
      <c r="CJ33" s="118">
        <f>BX33+$AP33*CA33</f>
        <v>77.08</v>
      </c>
      <c r="CK33" s="119"/>
      <c r="CL33" s="120">
        <f t="shared" si="40"/>
        <v>0</v>
      </c>
      <c r="CM33" s="121">
        <v>-1.9</v>
      </c>
      <c r="CN33" s="122">
        <f t="shared" si="20"/>
        <v>0</v>
      </c>
      <c r="CO33" s="123">
        <f t="shared" si="37"/>
        <v>0</v>
      </c>
      <c r="CP33" s="156"/>
      <c r="CQ33" s="85">
        <v>-280</v>
      </c>
      <c r="CR33" s="124">
        <f t="shared" si="21"/>
        <v>0</v>
      </c>
      <c r="CT33" s="119">
        <v>1</v>
      </c>
      <c r="CU33" s="119">
        <f t="shared" si="38"/>
        <v>4.27</v>
      </c>
      <c r="CV33" s="120">
        <f t="shared" si="22"/>
        <v>0</v>
      </c>
      <c r="CW33" s="119"/>
      <c r="CX33" s="119"/>
    </row>
    <row r="34" spans="1:102" s="85" customFormat="1" ht="18" customHeight="1">
      <c r="A34" s="125" t="s">
        <v>116</v>
      </c>
      <c r="B34" s="140"/>
      <c r="C34" s="365"/>
      <c r="D34" s="358">
        <v>1.02</v>
      </c>
      <c r="E34" s="173"/>
      <c r="F34" s="174"/>
      <c r="G34" s="418">
        <f t="shared" si="23"/>
      </c>
      <c r="H34" s="189" t="s">
        <v>117</v>
      </c>
      <c r="I34" s="190">
        <f>CE61</f>
        <v>0</v>
      </c>
      <c r="J34" s="191">
        <f>CF61</f>
        <v>0</v>
      </c>
      <c r="K34" s="191">
        <f>CG61</f>
        <v>0</v>
      </c>
      <c r="L34" s="346"/>
      <c r="M34" s="382" t="s">
        <v>261</v>
      </c>
      <c r="N34" s="427" t="s">
        <v>279</v>
      </c>
      <c r="O34" s="427" t="s">
        <v>278</v>
      </c>
      <c r="P34" s="393"/>
      <c r="Q34" s="40"/>
      <c r="R34" s="84"/>
      <c r="V34" s="373">
        <f t="shared" si="2"/>
        <v>0</v>
      </c>
      <c r="AP34" s="187"/>
      <c r="AR34" s="100">
        <f t="shared" si="41"/>
        <v>0</v>
      </c>
      <c r="AS34" s="101">
        <f t="shared" si="42"/>
        <v>0</v>
      </c>
      <c r="AT34" s="102">
        <f t="shared" si="8"/>
        <v>0</v>
      </c>
      <c r="AU34" s="150"/>
      <c r="AV34" s="179"/>
      <c r="AW34" s="180"/>
      <c r="AX34" s="141"/>
      <c r="AY34" s="141"/>
      <c r="AZ34" s="150"/>
      <c r="BA34" s="150"/>
      <c r="BB34" s="142"/>
      <c r="BC34" s="182"/>
      <c r="BD34" s="183"/>
      <c r="BE34" s="182"/>
      <c r="BF34" s="183"/>
      <c r="BG34" s="109">
        <f t="shared" si="31"/>
        <v>0</v>
      </c>
      <c r="BH34" s="110"/>
      <c r="BI34" s="110"/>
      <c r="BJ34" s="144">
        <f t="shared" si="32"/>
        <v>0</v>
      </c>
      <c r="BK34" s="112">
        <f t="shared" si="33"/>
        <v>0</v>
      </c>
      <c r="BL34" s="112">
        <f t="shared" si="33"/>
        <v>0</v>
      </c>
      <c r="BM34" s="114">
        <f t="shared" si="33"/>
        <v>0</v>
      </c>
      <c r="BN34" s="114">
        <f t="shared" si="34"/>
        <v>0</v>
      </c>
      <c r="BO34" s="114">
        <f t="shared" si="34"/>
        <v>0</v>
      </c>
      <c r="BP34" s="114">
        <f t="shared" si="34"/>
        <v>0</v>
      </c>
      <c r="BQ34" s="114">
        <f t="shared" si="12"/>
        <v>0</v>
      </c>
      <c r="BR34" s="115">
        <f t="shared" si="13"/>
        <v>0</v>
      </c>
      <c r="BS34" s="115">
        <f t="shared" si="14"/>
        <v>0</v>
      </c>
      <c r="BT34" s="115">
        <f t="shared" si="35"/>
        <v>0</v>
      </c>
      <c r="BU34" s="145"/>
      <c r="BV34" s="185">
        <v>13</v>
      </c>
      <c r="BW34" s="185">
        <f>2.2*2.92</f>
        <v>6.424</v>
      </c>
      <c r="BX34" s="185">
        <f>8.3*1.204</f>
        <v>9.9932</v>
      </c>
      <c r="BY34" s="186"/>
      <c r="BZ34" s="186"/>
      <c r="CA34" s="186"/>
      <c r="CB34" s="100">
        <f t="shared" si="16"/>
        <v>0</v>
      </c>
      <c r="CC34" s="100">
        <f t="shared" si="17"/>
        <v>0</v>
      </c>
      <c r="CD34" s="100">
        <f t="shared" si="18"/>
        <v>0</v>
      </c>
      <c r="CE34" s="100">
        <f t="shared" si="44"/>
        <v>0</v>
      </c>
      <c r="CF34" s="100">
        <f t="shared" si="44"/>
        <v>0</v>
      </c>
      <c r="CG34" s="100">
        <f t="shared" si="44"/>
        <v>0</v>
      </c>
      <c r="CH34" s="117">
        <f>BV34</f>
        <v>13</v>
      </c>
      <c r="CI34" s="117">
        <f>BW34</f>
        <v>6.424</v>
      </c>
      <c r="CJ34" s="117">
        <f>BX34</f>
        <v>9.9932</v>
      </c>
      <c r="CK34" s="119"/>
      <c r="CL34" s="120">
        <f t="shared" si="40"/>
        <v>0</v>
      </c>
      <c r="CM34" s="121">
        <v>-1.9</v>
      </c>
      <c r="CN34" s="122">
        <f t="shared" si="20"/>
        <v>0</v>
      </c>
      <c r="CO34" s="123">
        <f t="shared" si="37"/>
        <v>0</v>
      </c>
      <c r="CP34" s="156"/>
      <c r="CQ34" s="85">
        <v>-280</v>
      </c>
      <c r="CR34" s="124">
        <f t="shared" si="21"/>
        <v>0</v>
      </c>
      <c r="CT34" s="119">
        <v>1</v>
      </c>
      <c r="CU34" s="119">
        <f t="shared" si="38"/>
        <v>4.27</v>
      </c>
      <c r="CV34" s="120">
        <f t="shared" si="22"/>
        <v>0</v>
      </c>
      <c r="CW34" s="119"/>
      <c r="CX34" s="119"/>
    </row>
    <row r="35" spans="1:102" s="85" customFormat="1" ht="18" customHeight="1">
      <c r="A35" s="125" t="s">
        <v>267</v>
      </c>
      <c r="B35" s="140"/>
      <c r="C35" s="365"/>
      <c r="D35" s="358">
        <v>5.17</v>
      </c>
      <c r="E35" s="188"/>
      <c r="F35" s="188"/>
      <c r="G35" s="418">
        <f t="shared" si="23"/>
      </c>
      <c r="H35" s="200" t="s">
        <v>118</v>
      </c>
      <c r="I35" s="201">
        <f>CL50</f>
        <v>0</v>
      </c>
      <c r="J35" s="188"/>
      <c r="K35" s="188"/>
      <c r="L35" s="232"/>
      <c r="M35" s="383" t="s">
        <v>66</v>
      </c>
      <c r="N35" s="428">
        <v>18.97</v>
      </c>
      <c r="O35" s="429"/>
      <c r="P35" s="394"/>
      <c r="Q35" s="40"/>
      <c r="R35" s="84"/>
      <c r="V35" s="373">
        <f t="shared" si="2"/>
        <v>0</v>
      </c>
      <c r="AP35" s="187"/>
      <c r="AR35" s="192"/>
      <c r="AS35" s="192"/>
      <c r="AT35" s="193"/>
      <c r="AU35" s="194"/>
      <c r="AV35" s="195"/>
      <c r="AW35" s="196"/>
      <c r="AX35" s="197"/>
      <c r="AY35" s="197"/>
      <c r="AZ35" s="194"/>
      <c r="BA35" s="194"/>
      <c r="BB35" s="198"/>
      <c r="BC35" s="143"/>
      <c r="BD35" s="109">
        <f aca="true" t="shared" si="46" ref="BD35:BD44">B35*BC35</f>
        <v>0</v>
      </c>
      <c r="BE35" s="143"/>
      <c r="BF35" s="199"/>
      <c r="BG35" s="109">
        <f t="shared" si="31"/>
        <v>0</v>
      </c>
      <c r="BH35" s="110"/>
      <c r="BI35" s="110"/>
      <c r="BJ35" s="144">
        <f t="shared" si="32"/>
        <v>0</v>
      </c>
      <c r="BK35" s="112">
        <f t="shared" si="33"/>
        <v>0</v>
      </c>
      <c r="BL35" s="112">
        <f t="shared" si="33"/>
        <v>0</v>
      </c>
      <c r="BM35" s="114">
        <f t="shared" si="33"/>
        <v>0</v>
      </c>
      <c r="BN35" s="114">
        <f t="shared" si="34"/>
        <v>0</v>
      </c>
      <c r="BO35" s="114">
        <f t="shared" si="34"/>
        <v>0</v>
      </c>
      <c r="BP35" s="114">
        <f t="shared" si="34"/>
        <v>0</v>
      </c>
      <c r="BQ35" s="114">
        <f t="shared" si="12"/>
        <v>0</v>
      </c>
      <c r="BR35" s="115">
        <f t="shared" si="13"/>
        <v>0</v>
      </c>
      <c r="BS35" s="115">
        <f t="shared" si="14"/>
        <v>0</v>
      </c>
      <c r="BT35" s="115">
        <f t="shared" si="35"/>
        <v>0</v>
      </c>
      <c r="BU35" s="145"/>
      <c r="BV35" s="185">
        <f>3.7/30*35</f>
        <v>4.316666666666666</v>
      </c>
      <c r="BW35" s="185">
        <f>1.4/30*35</f>
        <v>1.633333333333333</v>
      </c>
      <c r="BX35" s="185">
        <f>4.6/30*35</f>
        <v>5.366666666666666</v>
      </c>
      <c r="BY35" s="186"/>
      <c r="BZ35" s="186"/>
      <c r="CA35" s="186"/>
      <c r="CB35" s="100">
        <f t="shared" si="16"/>
        <v>0</v>
      </c>
      <c r="CC35" s="100">
        <f t="shared" si="17"/>
        <v>0</v>
      </c>
      <c r="CD35" s="100">
        <f t="shared" si="18"/>
        <v>0</v>
      </c>
      <c r="CE35" s="100">
        <f t="shared" si="44"/>
        <v>0</v>
      </c>
      <c r="CF35" s="100">
        <f t="shared" si="44"/>
        <v>0</v>
      </c>
      <c r="CG35" s="100">
        <f t="shared" si="44"/>
        <v>0</v>
      </c>
      <c r="CH35" s="117">
        <f aca="true" t="shared" si="47" ref="CH35:CJ42">BV35</f>
        <v>4.316666666666666</v>
      </c>
      <c r="CI35" s="117">
        <f t="shared" si="47"/>
        <v>1.633333333333333</v>
      </c>
      <c r="CJ35" s="117">
        <f t="shared" si="47"/>
        <v>5.366666666666666</v>
      </c>
      <c r="CK35" s="119"/>
      <c r="CL35" s="120">
        <f t="shared" si="40"/>
        <v>0</v>
      </c>
      <c r="CM35" s="137">
        <v>-3.2</v>
      </c>
      <c r="CN35" s="138">
        <f t="shared" si="20"/>
        <v>0</v>
      </c>
      <c r="CO35" s="139">
        <f t="shared" si="37"/>
        <v>0</v>
      </c>
      <c r="CP35" s="156"/>
      <c r="CQ35" s="85">
        <v>-560</v>
      </c>
      <c r="CR35" s="124">
        <f t="shared" si="21"/>
        <v>0</v>
      </c>
      <c r="CT35" s="119">
        <v>1.1</v>
      </c>
      <c r="CU35" s="119">
        <f t="shared" si="38"/>
        <v>4.697</v>
      </c>
      <c r="CV35" s="120">
        <f t="shared" si="22"/>
        <v>0</v>
      </c>
      <c r="CW35" s="119"/>
      <c r="CX35" s="119"/>
    </row>
    <row r="36" spans="1:102" s="85" customFormat="1" ht="18" customHeight="1">
      <c r="A36" s="420" t="s">
        <v>228</v>
      </c>
      <c r="B36" s="126"/>
      <c r="C36" s="365"/>
      <c r="D36" s="358">
        <v>33.83</v>
      </c>
      <c r="E36" s="188"/>
      <c r="F36" s="188"/>
      <c r="G36" s="418">
        <f t="shared" si="23"/>
      </c>
      <c r="H36" s="200" t="s">
        <v>120</v>
      </c>
      <c r="I36" s="201">
        <f>IF(B56=0,0,IF(M31=0,IF($B56=0,0,I31*1000/$B56),M31*1000/$B56))</f>
        <v>0</v>
      </c>
      <c r="J36" s="201">
        <f>IF(B56=0,0,IF(N31=0,IF($B56=0,0,J31*1000/$B56),N31*1000/$B56))</f>
        <v>0</v>
      </c>
      <c r="K36" s="201">
        <f>IF(B56=0,0,IF(O31=0,IF($B56=0,0,K31*1000/$B56),O31*1000/$B56))</f>
        <v>0</v>
      </c>
      <c r="L36" s="423"/>
      <c r="M36" s="522" t="s">
        <v>259</v>
      </c>
      <c r="N36" s="428">
        <v>17.06</v>
      </c>
      <c r="O36" s="429"/>
      <c r="P36" s="395"/>
      <c r="Q36" s="40"/>
      <c r="R36" s="84"/>
      <c r="V36" s="373">
        <f t="shared" si="2"/>
        <v>0</v>
      </c>
      <c r="AP36" s="187"/>
      <c r="AR36" s="192"/>
      <c r="AS36" s="192"/>
      <c r="AT36" s="192"/>
      <c r="AU36" s="194"/>
      <c r="AV36" s="195"/>
      <c r="AW36" s="196"/>
      <c r="AX36" s="197"/>
      <c r="AY36" s="197"/>
      <c r="AZ36" s="194"/>
      <c r="BA36" s="194"/>
      <c r="BB36" s="198"/>
      <c r="BC36" s="143">
        <v>2</v>
      </c>
      <c r="BD36" s="109">
        <f t="shared" si="46"/>
        <v>0</v>
      </c>
      <c r="BE36" s="143"/>
      <c r="BF36" s="199"/>
      <c r="BG36" s="109">
        <f t="shared" si="31"/>
        <v>0</v>
      </c>
      <c r="BH36" s="110"/>
      <c r="BI36" s="165">
        <v>0.05</v>
      </c>
      <c r="BJ36" s="144">
        <f>BI36-BH36</f>
        <v>0.05</v>
      </c>
      <c r="BK36" s="112">
        <f>$C36*BH36</f>
        <v>0</v>
      </c>
      <c r="BL36" s="112">
        <f>$C36*BI36</f>
        <v>0</v>
      </c>
      <c r="BM36" s="114">
        <f>$C36*BJ36</f>
        <v>0</v>
      </c>
      <c r="BN36" s="114">
        <f>BK36/0.52</f>
        <v>0</v>
      </c>
      <c r="BO36" s="114">
        <f>BL36/0.52</f>
        <v>0</v>
      </c>
      <c r="BP36" s="114">
        <f>BM36/0.52</f>
        <v>0</v>
      </c>
      <c r="BQ36" s="114">
        <f t="shared" si="12"/>
        <v>0</v>
      </c>
      <c r="BR36" s="115">
        <f t="shared" si="13"/>
        <v>0</v>
      </c>
      <c r="BS36" s="115">
        <f t="shared" si="14"/>
        <v>0</v>
      </c>
      <c r="BT36" s="115">
        <f>BR36+BS36</f>
        <v>0</v>
      </c>
      <c r="BU36" s="145"/>
      <c r="BV36" s="184">
        <v>3.7</v>
      </c>
      <c r="BW36" s="184">
        <v>1.4</v>
      </c>
      <c r="BX36" s="184">
        <v>4.6</v>
      </c>
      <c r="BY36" s="186"/>
      <c r="BZ36" s="186"/>
      <c r="CA36" s="186"/>
      <c r="CB36" s="100">
        <f t="shared" si="16"/>
        <v>0</v>
      </c>
      <c r="CC36" s="100">
        <f t="shared" si="17"/>
        <v>0</v>
      </c>
      <c r="CD36" s="100">
        <f t="shared" si="18"/>
        <v>0</v>
      </c>
      <c r="CE36" s="100">
        <f>IF($B36=0,0,CB36/$B36)</f>
        <v>0</v>
      </c>
      <c r="CF36" s="100">
        <f>IF($B36=0,0,CC36/$B36)</f>
        <v>0</v>
      </c>
      <c r="CG36" s="100">
        <f>IF($B36=0,0,CD36/$B36)</f>
        <v>0</v>
      </c>
      <c r="CH36" s="117">
        <f>BV36</f>
        <v>3.7</v>
      </c>
      <c r="CI36" s="117">
        <f>BW36</f>
        <v>1.4</v>
      </c>
      <c r="CJ36" s="117">
        <f>BX36</f>
        <v>4.6</v>
      </c>
      <c r="CK36" s="119"/>
      <c r="CL36" s="120">
        <f t="shared" si="40"/>
        <v>0</v>
      </c>
      <c r="CM36" s="137">
        <v>-3.2</v>
      </c>
      <c r="CN36" s="138">
        <f t="shared" si="20"/>
        <v>0</v>
      </c>
      <c r="CO36" s="139">
        <f t="shared" si="37"/>
        <v>0</v>
      </c>
      <c r="CP36" s="156"/>
      <c r="CQ36" s="85">
        <v>-560</v>
      </c>
      <c r="CR36" s="124">
        <f t="shared" si="21"/>
        <v>0</v>
      </c>
      <c r="CT36" s="119">
        <v>1.1</v>
      </c>
      <c r="CU36" s="119">
        <f t="shared" si="38"/>
        <v>4.697</v>
      </c>
      <c r="CV36" s="120">
        <f t="shared" si="22"/>
        <v>0</v>
      </c>
      <c r="CW36" s="119"/>
      <c r="CX36" s="119"/>
    </row>
    <row r="37" spans="1:102" s="85" customFormat="1" ht="18" customHeight="1">
      <c r="A37" s="125" t="s">
        <v>119</v>
      </c>
      <c r="B37" s="126"/>
      <c r="C37" s="365"/>
      <c r="D37" s="358">
        <v>16.295779965151468</v>
      </c>
      <c r="E37" s="188"/>
      <c r="F37" s="188"/>
      <c r="G37" s="418">
        <f t="shared" si="23"/>
      </c>
      <c r="H37" s="200" t="s">
        <v>321</v>
      </c>
      <c r="I37" s="202">
        <f>AK30</f>
        <v>0</v>
      </c>
      <c r="J37" s="203">
        <f>AL30</f>
        <v>0</v>
      </c>
      <c r="K37" s="203">
        <f>AM30</f>
        <v>0</v>
      </c>
      <c r="L37" s="424"/>
      <c r="M37" s="522" t="s">
        <v>260</v>
      </c>
      <c r="N37" s="428">
        <v>14.63</v>
      </c>
      <c r="O37" s="429"/>
      <c r="P37" s="396"/>
      <c r="Q37" s="40"/>
      <c r="R37" s="84"/>
      <c r="V37" s="373">
        <f t="shared" si="2"/>
        <v>0</v>
      </c>
      <c r="AP37" s="187"/>
      <c r="AR37" s="192"/>
      <c r="AS37" s="192"/>
      <c r="AT37" s="192"/>
      <c r="AU37" s="194"/>
      <c r="AV37" s="195"/>
      <c r="AW37" s="196"/>
      <c r="AX37" s="197"/>
      <c r="AY37" s="197"/>
      <c r="AZ37" s="194"/>
      <c r="BA37" s="194"/>
      <c r="BB37" s="198"/>
      <c r="BC37" s="143">
        <v>1</v>
      </c>
      <c r="BD37" s="109">
        <f t="shared" si="46"/>
        <v>0</v>
      </c>
      <c r="BE37" s="143"/>
      <c r="BF37" s="199"/>
      <c r="BG37" s="109">
        <f t="shared" si="31"/>
        <v>0</v>
      </c>
      <c r="BH37" s="131"/>
      <c r="BI37" s="131">
        <v>0.084</v>
      </c>
      <c r="BJ37" s="144">
        <f t="shared" si="32"/>
        <v>0.084</v>
      </c>
      <c r="BK37" s="112">
        <f t="shared" si="33"/>
        <v>0</v>
      </c>
      <c r="BL37" s="112">
        <f t="shared" si="33"/>
        <v>0</v>
      </c>
      <c r="BM37" s="114">
        <f t="shared" si="33"/>
        <v>0</v>
      </c>
      <c r="BN37" s="114">
        <f t="shared" si="34"/>
        <v>0</v>
      </c>
      <c r="BO37" s="114">
        <f t="shared" si="34"/>
        <v>0</v>
      </c>
      <c r="BP37" s="114">
        <f t="shared" si="34"/>
        <v>0</v>
      </c>
      <c r="BQ37" s="114">
        <f t="shared" si="12"/>
        <v>0</v>
      </c>
      <c r="BR37" s="115">
        <f t="shared" si="13"/>
        <v>0</v>
      </c>
      <c r="BS37" s="115">
        <f t="shared" si="14"/>
        <v>0</v>
      </c>
      <c r="BT37" s="115">
        <f t="shared" si="35"/>
        <v>0</v>
      </c>
      <c r="BU37" s="145"/>
      <c r="BV37" s="184">
        <v>6.5</v>
      </c>
      <c r="BW37" s="184">
        <v>1.5</v>
      </c>
      <c r="BX37" s="184">
        <v>5.2</v>
      </c>
      <c r="BY37" s="186"/>
      <c r="BZ37" s="186"/>
      <c r="CA37" s="186"/>
      <c r="CB37" s="100">
        <f t="shared" si="16"/>
        <v>0</v>
      </c>
      <c r="CC37" s="100">
        <f t="shared" si="17"/>
        <v>0</v>
      </c>
      <c r="CD37" s="100">
        <f t="shared" si="18"/>
        <v>0</v>
      </c>
      <c r="CE37" s="100">
        <f aca="true" t="shared" si="48" ref="CE37:CG45">IF($B37=0,0,CB37/$B37)</f>
        <v>0</v>
      </c>
      <c r="CF37" s="100">
        <f t="shared" si="48"/>
        <v>0</v>
      </c>
      <c r="CG37" s="100">
        <f t="shared" si="48"/>
        <v>0</v>
      </c>
      <c r="CH37" s="117">
        <f t="shared" si="47"/>
        <v>6.5</v>
      </c>
      <c r="CI37" s="117">
        <f t="shared" si="47"/>
        <v>1.5</v>
      </c>
      <c r="CJ37" s="117">
        <f t="shared" si="47"/>
        <v>5.2</v>
      </c>
      <c r="CK37" s="119">
        <v>80</v>
      </c>
      <c r="CL37" s="120">
        <f t="shared" si="40"/>
        <v>0</v>
      </c>
      <c r="CM37" s="137">
        <v>-3.2</v>
      </c>
      <c r="CN37" s="138">
        <f t="shared" si="20"/>
        <v>0</v>
      </c>
      <c r="CO37" s="139">
        <f t="shared" si="37"/>
        <v>0</v>
      </c>
      <c r="CP37" s="156"/>
      <c r="CQ37" s="85">
        <v>-280</v>
      </c>
      <c r="CR37" s="124">
        <f t="shared" si="21"/>
        <v>0</v>
      </c>
      <c r="CT37" s="119">
        <v>1</v>
      </c>
      <c r="CU37" s="119">
        <f t="shared" si="38"/>
        <v>4.27</v>
      </c>
      <c r="CV37" s="120">
        <f t="shared" si="22"/>
        <v>0</v>
      </c>
      <c r="CW37" s="119"/>
      <c r="CX37" s="119"/>
    </row>
    <row r="38" spans="1:102" s="85" customFormat="1" ht="18" customHeight="1">
      <c r="A38" s="125" t="s">
        <v>121</v>
      </c>
      <c r="B38" s="126"/>
      <c r="C38" s="365"/>
      <c r="D38" s="358">
        <v>11.756310302716605</v>
      </c>
      <c r="E38" s="188"/>
      <c r="F38" s="188"/>
      <c r="G38" s="418">
        <f t="shared" si="23"/>
      </c>
      <c r="H38" s="189" t="s">
        <v>177</v>
      </c>
      <c r="I38" s="205">
        <f>I35+I36+I37</f>
        <v>0</v>
      </c>
      <c r="J38" s="206">
        <f>J36+J37</f>
        <v>0</v>
      </c>
      <c r="K38" s="206">
        <f>K36+K37</f>
        <v>0</v>
      </c>
      <c r="L38" s="425"/>
      <c r="M38" s="573" t="s">
        <v>310</v>
      </c>
      <c r="N38" s="573"/>
      <c r="O38" s="573"/>
      <c r="P38" s="395"/>
      <c r="Q38" s="40"/>
      <c r="R38" s="84"/>
      <c r="V38" s="373">
        <f t="shared" si="2"/>
        <v>0</v>
      </c>
      <c r="AP38" s="187"/>
      <c r="AR38" s="192"/>
      <c r="AS38" s="192"/>
      <c r="AT38" s="192"/>
      <c r="AU38" s="194"/>
      <c r="AV38" s="195"/>
      <c r="AW38" s="196"/>
      <c r="AX38" s="197"/>
      <c r="AY38" s="197"/>
      <c r="AZ38" s="194"/>
      <c r="BA38" s="194"/>
      <c r="BB38" s="198"/>
      <c r="BC38" s="143">
        <v>1</v>
      </c>
      <c r="BD38" s="109">
        <f t="shared" si="46"/>
        <v>0</v>
      </c>
      <c r="BE38" s="143"/>
      <c r="BF38" s="199"/>
      <c r="BG38" s="109">
        <f t="shared" si="31"/>
        <v>0</v>
      </c>
      <c r="BH38" s="131"/>
      <c r="BI38" s="131">
        <v>0.084</v>
      </c>
      <c r="BJ38" s="144">
        <f t="shared" si="32"/>
        <v>0.084</v>
      </c>
      <c r="BK38" s="112">
        <f t="shared" si="33"/>
        <v>0</v>
      </c>
      <c r="BL38" s="112">
        <f t="shared" si="33"/>
        <v>0</v>
      </c>
      <c r="BM38" s="114">
        <f t="shared" si="33"/>
        <v>0</v>
      </c>
      <c r="BN38" s="114">
        <f t="shared" si="34"/>
        <v>0</v>
      </c>
      <c r="BO38" s="114">
        <f t="shared" si="34"/>
        <v>0</v>
      </c>
      <c r="BP38" s="114">
        <f t="shared" si="34"/>
        <v>0</v>
      </c>
      <c r="BQ38" s="114">
        <f t="shared" si="12"/>
        <v>0</v>
      </c>
      <c r="BR38" s="115">
        <f t="shared" si="13"/>
        <v>0</v>
      </c>
      <c r="BS38" s="115">
        <f t="shared" si="14"/>
        <v>0</v>
      </c>
      <c r="BT38" s="115">
        <f t="shared" si="35"/>
        <v>0</v>
      </c>
      <c r="BU38" s="145"/>
      <c r="BV38" s="184">
        <v>5.5</v>
      </c>
      <c r="BW38" s="184">
        <v>1.3</v>
      </c>
      <c r="BX38" s="184">
        <v>6</v>
      </c>
      <c r="BY38" s="186"/>
      <c r="BZ38" s="186"/>
      <c r="CA38" s="186"/>
      <c r="CB38" s="100">
        <f t="shared" si="16"/>
        <v>0</v>
      </c>
      <c r="CC38" s="100">
        <f t="shared" si="17"/>
        <v>0</v>
      </c>
      <c r="CD38" s="100">
        <f t="shared" si="18"/>
        <v>0</v>
      </c>
      <c r="CE38" s="100">
        <f t="shared" si="48"/>
        <v>0</v>
      </c>
      <c r="CF38" s="100">
        <f t="shared" si="48"/>
        <v>0</v>
      </c>
      <c r="CG38" s="100">
        <f t="shared" si="48"/>
        <v>0</v>
      </c>
      <c r="CH38" s="117">
        <f t="shared" si="47"/>
        <v>5.5</v>
      </c>
      <c r="CI38" s="117">
        <f t="shared" si="47"/>
        <v>1.3</v>
      </c>
      <c r="CJ38" s="117">
        <f t="shared" si="47"/>
        <v>6</v>
      </c>
      <c r="CK38" s="119">
        <v>25</v>
      </c>
      <c r="CL38" s="120">
        <f t="shared" si="40"/>
        <v>0</v>
      </c>
      <c r="CM38" s="137">
        <v>-3.2</v>
      </c>
      <c r="CN38" s="138">
        <f t="shared" si="20"/>
        <v>0</v>
      </c>
      <c r="CO38" s="139">
        <f t="shared" si="37"/>
        <v>0</v>
      </c>
      <c r="CP38" s="204">
        <f>(SUM(CN35:CN38))+(SUM(CN19:CN24))+CN14+CN45</f>
        <v>0</v>
      </c>
      <c r="CQ38" s="85">
        <v>-280</v>
      </c>
      <c r="CR38" s="124">
        <f t="shared" si="21"/>
        <v>0</v>
      </c>
      <c r="CT38" s="119">
        <v>1</v>
      </c>
      <c r="CU38" s="119">
        <f t="shared" si="38"/>
        <v>4.27</v>
      </c>
      <c r="CV38" s="120">
        <f t="shared" si="22"/>
        <v>0</v>
      </c>
      <c r="CW38" s="119"/>
      <c r="CX38" s="119"/>
    </row>
    <row r="39" spans="1:102" s="85" customFormat="1" ht="18" customHeight="1">
      <c r="A39" s="420" t="s">
        <v>268</v>
      </c>
      <c r="B39" s="126"/>
      <c r="C39" s="365"/>
      <c r="D39" s="358">
        <v>6.658859488014716</v>
      </c>
      <c r="E39" s="188"/>
      <c r="F39" s="188"/>
      <c r="G39" s="418">
        <f t="shared" si="23"/>
      </c>
      <c r="H39" s="378" t="s">
        <v>295</v>
      </c>
      <c r="I39" s="471">
        <f>I38-I34</f>
        <v>0</v>
      </c>
      <c r="J39" s="472">
        <f>J38-J34</f>
        <v>0</v>
      </c>
      <c r="K39" s="472">
        <f>K38-K34</f>
        <v>0</v>
      </c>
      <c r="L39" s="426"/>
      <c r="M39" s="574" t="s">
        <v>311</v>
      </c>
      <c r="N39" s="574"/>
      <c r="O39" s="574"/>
      <c r="P39" s="396"/>
      <c r="Q39" s="40"/>
      <c r="R39" s="84"/>
      <c r="V39" s="373">
        <f t="shared" si="2"/>
        <v>0</v>
      </c>
      <c r="AP39" s="187"/>
      <c r="AR39" s="192"/>
      <c r="AS39" s="192"/>
      <c r="AT39" s="192"/>
      <c r="AU39" s="194"/>
      <c r="AV39" s="195"/>
      <c r="AW39" s="196"/>
      <c r="AX39" s="197"/>
      <c r="AY39" s="197"/>
      <c r="AZ39" s="194"/>
      <c r="BA39" s="194"/>
      <c r="BB39" s="198"/>
      <c r="BC39" s="143">
        <v>4</v>
      </c>
      <c r="BD39" s="109">
        <f t="shared" si="46"/>
        <v>0</v>
      </c>
      <c r="BE39" s="143"/>
      <c r="BF39" s="199"/>
      <c r="BG39" s="207">
        <f t="shared" si="31"/>
        <v>0</v>
      </c>
      <c r="BH39" s="110"/>
      <c r="BI39" s="110">
        <f>0.368/2</f>
        <v>0.184</v>
      </c>
      <c r="BJ39" s="144">
        <f t="shared" si="32"/>
        <v>0.184</v>
      </c>
      <c r="BK39" s="112">
        <f t="shared" si="33"/>
        <v>0</v>
      </c>
      <c r="BL39" s="112">
        <f t="shared" si="33"/>
        <v>0</v>
      </c>
      <c r="BM39" s="114">
        <f t="shared" si="33"/>
        <v>0</v>
      </c>
      <c r="BN39" s="114">
        <f t="shared" si="34"/>
        <v>0</v>
      </c>
      <c r="BO39" s="114">
        <f t="shared" si="34"/>
        <v>0</v>
      </c>
      <c r="BP39" s="114">
        <f t="shared" si="34"/>
        <v>0</v>
      </c>
      <c r="BQ39" s="114">
        <f t="shared" si="12"/>
        <v>0</v>
      </c>
      <c r="BR39" s="115">
        <f t="shared" si="13"/>
        <v>0</v>
      </c>
      <c r="BS39" s="115">
        <f t="shared" si="14"/>
        <v>0</v>
      </c>
      <c r="BT39" s="115">
        <f t="shared" si="35"/>
        <v>0</v>
      </c>
      <c r="BU39" s="145"/>
      <c r="BV39" s="184">
        <v>20.6</v>
      </c>
      <c r="BW39" s="184">
        <v>4.6</v>
      </c>
      <c r="BX39" s="184">
        <v>21.4</v>
      </c>
      <c r="BY39" s="186"/>
      <c r="BZ39" s="186"/>
      <c r="CA39" s="186"/>
      <c r="CB39" s="100">
        <f t="shared" si="16"/>
        <v>0</v>
      </c>
      <c r="CC39" s="100">
        <f t="shared" si="17"/>
        <v>0</v>
      </c>
      <c r="CD39" s="100">
        <f t="shared" si="18"/>
        <v>0</v>
      </c>
      <c r="CE39" s="100">
        <f t="shared" si="48"/>
        <v>0</v>
      </c>
      <c r="CF39" s="100">
        <f t="shared" si="48"/>
        <v>0</v>
      </c>
      <c r="CG39" s="100">
        <f t="shared" si="48"/>
        <v>0</v>
      </c>
      <c r="CH39" s="117">
        <f t="shared" si="47"/>
        <v>20.6</v>
      </c>
      <c r="CI39" s="117">
        <f t="shared" si="47"/>
        <v>4.6</v>
      </c>
      <c r="CJ39" s="117">
        <f t="shared" si="47"/>
        <v>21.4</v>
      </c>
      <c r="CK39" s="119">
        <v>240</v>
      </c>
      <c r="CL39" s="120">
        <f t="shared" si="40"/>
        <v>0</v>
      </c>
      <c r="CM39" s="208">
        <v>0.8</v>
      </c>
      <c r="CN39" s="209">
        <f t="shared" si="20"/>
        <v>0</v>
      </c>
      <c r="CO39" s="210">
        <f t="shared" si="37"/>
        <v>0</v>
      </c>
      <c r="CP39" s="156"/>
      <c r="CQ39" s="85">
        <v>600</v>
      </c>
      <c r="CR39" s="124">
        <f t="shared" si="21"/>
        <v>0</v>
      </c>
      <c r="CT39" s="119">
        <f>(0.8+1)/2</f>
        <v>0.9</v>
      </c>
      <c r="CU39" s="119">
        <f t="shared" si="38"/>
        <v>3.8429999999999995</v>
      </c>
      <c r="CV39" s="120">
        <f t="shared" si="22"/>
        <v>0</v>
      </c>
      <c r="CW39" s="119"/>
      <c r="CX39" s="119"/>
    </row>
    <row r="40" spans="1:102" s="85" customFormat="1" ht="18" customHeight="1">
      <c r="A40" s="420" t="s">
        <v>269</v>
      </c>
      <c r="B40" s="126"/>
      <c r="C40" s="365"/>
      <c r="D40" s="358">
        <v>7.116997405791982</v>
      </c>
      <c r="E40" s="188"/>
      <c r="F40" s="188"/>
      <c r="G40" s="418">
        <f t="shared" si="23"/>
      </c>
      <c r="H40" s="504" t="s">
        <v>281</v>
      </c>
      <c r="I40" s="505" t="s">
        <v>309</v>
      </c>
      <c r="J40" s="505" t="s">
        <v>280</v>
      </c>
      <c r="K40" s="505" t="s">
        <v>280</v>
      </c>
      <c r="M40" s="575"/>
      <c r="N40" s="575"/>
      <c r="O40" s="575"/>
      <c r="P40" s="395"/>
      <c r="Q40" s="40"/>
      <c r="R40" s="84"/>
      <c r="V40" s="373">
        <f t="shared" si="2"/>
        <v>0</v>
      </c>
      <c r="AP40" s="187"/>
      <c r="AR40" s="192"/>
      <c r="AS40" s="192"/>
      <c r="AT40" s="192"/>
      <c r="AU40" s="194"/>
      <c r="AV40" s="195"/>
      <c r="AW40" s="196"/>
      <c r="AX40" s="197"/>
      <c r="AY40" s="197"/>
      <c r="AZ40" s="194"/>
      <c r="BA40" s="194"/>
      <c r="BB40" s="198"/>
      <c r="BC40" s="143">
        <v>4</v>
      </c>
      <c r="BD40" s="109">
        <f t="shared" si="46"/>
        <v>0</v>
      </c>
      <c r="BE40" s="143"/>
      <c r="BF40" s="199"/>
      <c r="BG40" s="109">
        <f t="shared" si="31"/>
        <v>0</v>
      </c>
      <c r="BH40" s="110"/>
      <c r="BI40" s="110">
        <f>0.508/3</f>
        <v>0.16933333333333334</v>
      </c>
      <c r="BJ40" s="144">
        <f t="shared" si="32"/>
        <v>0.16933333333333334</v>
      </c>
      <c r="BK40" s="112">
        <f t="shared" si="33"/>
        <v>0</v>
      </c>
      <c r="BL40" s="112">
        <f t="shared" si="33"/>
        <v>0</v>
      </c>
      <c r="BM40" s="114">
        <f t="shared" si="33"/>
        <v>0</v>
      </c>
      <c r="BN40" s="114">
        <f t="shared" si="34"/>
        <v>0</v>
      </c>
      <c r="BO40" s="114">
        <f t="shared" si="34"/>
        <v>0</v>
      </c>
      <c r="BP40" s="114">
        <f t="shared" si="34"/>
        <v>0</v>
      </c>
      <c r="BQ40" s="114">
        <f t="shared" si="12"/>
        <v>0</v>
      </c>
      <c r="BR40" s="115">
        <f t="shared" si="13"/>
        <v>0</v>
      </c>
      <c r="BS40" s="115">
        <f t="shared" si="14"/>
        <v>0</v>
      </c>
      <c r="BT40" s="115">
        <f t="shared" si="35"/>
        <v>0</v>
      </c>
      <c r="BU40" s="145"/>
      <c r="BV40" s="184">
        <v>23.6</v>
      </c>
      <c r="BW40" s="184">
        <v>5.3</v>
      </c>
      <c r="BX40" s="184">
        <v>21.9</v>
      </c>
      <c r="BY40" s="186"/>
      <c r="BZ40" s="186"/>
      <c r="CA40" s="186"/>
      <c r="CB40" s="100">
        <f t="shared" si="16"/>
        <v>0</v>
      </c>
      <c r="CC40" s="100">
        <f t="shared" si="17"/>
        <v>0</v>
      </c>
      <c r="CD40" s="100">
        <f t="shared" si="18"/>
        <v>0</v>
      </c>
      <c r="CE40" s="100">
        <f t="shared" si="48"/>
        <v>0</v>
      </c>
      <c r="CF40" s="100">
        <f t="shared" si="48"/>
        <v>0</v>
      </c>
      <c r="CG40" s="100">
        <f t="shared" si="48"/>
        <v>0</v>
      </c>
      <c r="CH40" s="117">
        <f t="shared" si="47"/>
        <v>23.6</v>
      </c>
      <c r="CI40" s="117">
        <f t="shared" si="47"/>
        <v>5.3</v>
      </c>
      <c r="CJ40" s="117">
        <f t="shared" si="47"/>
        <v>21.9</v>
      </c>
      <c r="CK40" s="119">
        <v>240</v>
      </c>
      <c r="CL40" s="120">
        <f t="shared" si="40"/>
        <v>0</v>
      </c>
      <c r="CM40" s="208">
        <v>0.8</v>
      </c>
      <c r="CN40" s="209">
        <f t="shared" si="20"/>
        <v>0</v>
      </c>
      <c r="CO40" s="210">
        <f t="shared" si="37"/>
        <v>0</v>
      </c>
      <c r="CP40" s="156"/>
      <c r="CQ40" s="85">
        <v>600</v>
      </c>
      <c r="CR40" s="124">
        <f t="shared" si="21"/>
        <v>0</v>
      </c>
      <c r="CT40" s="119">
        <f>(2*0.8+1)/3</f>
        <v>0.8666666666666667</v>
      </c>
      <c r="CU40" s="119">
        <f t="shared" si="38"/>
        <v>3.7006666666666663</v>
      </c>
      <c r="CV40" s="120">
        <f t="shared" si="22"/>
        <v>0</v>
      </c>
      <c r="CW40" s="119"/>
      <c r="CX40" s="119"/>
    </row>
    <row r="41" spans="1:102" s="85" customFormat="1" ht="18" customHeight="1">
      <c r="A41" s="125" t="s">
        <v>294</v>
      </c>
      <c r="B41" s="126"/>
      <c r="C41" s="365"/>
      <c r="D41" s="358">
        <v>7.5520998750590875</v>
      </c>
      <c r="E41" s="188"/>
      <c r="F41" s="188"/>
      <c r="G41" s="418">
        <f t="shared" si="23"/>
      </c>
      <c r="H41" s="503" t="s">
        <v>307</v>
      </c>
      <c r="I41" s="430">
        <f>IF(I34=0,0,IF((60-I39)&lt;0,(60-I39)/1000*$B56*-1,"v limitu"))</f>
        <v>0</v>
      </c>
      <c r="J41" s="430">
        <f>IF(I34=0,"",IF(J39&lt;0,J39/1000*$B56,"nahrazeno"))</f>
      </c>
      <c r="K41" s="430">
        <f>IF(I34=0,"",IF(K39&lt;0,K39/1000*$B56,"nahrazeno"))</f>
      </c>
      <c r="L41" s="446"/>
      <c r="M41" s="447"/>
      <c r="N41" s="447"/>
      <c r="O41" s="447"/>
      <c r="P41" s="211"/>
      <c r="V41" s="373">
        <f t="shared" si="2"/>
        <v>0</v>
      </c>
      <c r="AP41" s="187"/>
      <c r="AR41" s="192"/>
      <c r="AS41" s="192"/>
      <c r="AT41" s="192"/>
      <c r="AU41" s="194"/>
      <c r="AV41" s="195"/>
      <c r="AW41" s="196"/>
      <c r="AX41" s="197"/>
      <c r="AY41" s="197"/>
      <c r="AZ41" s="194"/>
      <c r="BA41" s="194"/>
      <c r="BB41" s="198"/>
      <c r="BC41" s="143">
        <v>5</v>
      </c>
      <c r="BD41" s="109">
        <f t="shared" si="46"/>
        <v>0</v>
      </c>
      <c r="BE41" s="143"/>
      <c r="BF41" s="199"/>
      <c r="BG41" s="109">
        <f t="shared" si="31"/>
        <v>0</v>
      </c>
      <c r="BH41" s="110"/>
      <c r="BI41" s="110">
        <f>0.639/3</f>
        <v>0.213</v>
      </c>
      <c r="BJ41" s="144">
        <f t="shared" si="32"/>
        <v>0.213</v>
      </c>
      <c r="BK41" s="112">
        <f t="shared" si="33"/>
        <v>0</v>
      </c>
      <c r="BL41" s="112">
        <f t="shared" si="33"/>
        <v>0</v>
      </c>
      <c r="BM41" s="114">
        <f t="shared" si="33"/>
        <v>0</v>
      </c>
      <c r="BN41" s="114">
        <f t="shared" si="34"/>
        <v>0</v>
      </c>
      <c r="BO41" s="114">
        <f t="shared" si="34"/>
        <v>0</v>
      </c>
      <c r="BP41" s="114">
        <f t="shared" si="34"/>
        <v>0</v>
      </c>
      <c r="BQ41" s="114">
        <f t="shared" si="12"/>
        <v>0</v>
      </c>
      <c r="BR41" s="115">
        <f t="shared" si="13"/>
        <v>0</v>
      </c>
      <c r="BS41" s="115">
        <f t="shared" si="14"/>
        <v>0</v>
      </c>
      <c r="BT41" s="115">
        <f t="shared" si="35"/>
        <v>0</v>
      </c>
      <c r="BU41" s="145"/>
      <c r="BV41" s="184">
        <v>19.4</v>
      </c>
      <c r="BW41" s="184">
        <v>4.6</v>
      </c>
      <c r="BX41" s="184">
        <v>22.9</v>
      </c>
      <c r="BY41" s="186"/>
      <c r="BZ41" s="186"/>
      <c r="CA41" s="186"/>
      <c r="CB41" s="100">
        <f t="shared" si="16"/>
        <v>0</v>
      </c>
      <c r="CC41" s="100">
        <f t="shared" si="17"/>
        <v>0</v>
      </c>
      <c r="CD41" s="100">
        <f t="shared" si="18"/>
        <v>0</v>
      </c>
      <c r="CE41" s="100">
        <f t="shared" si="48"/>
        <v>0</v>
      </c>
      <c r="CF41" s="100">
        <f t="shared" si="48"/>
        <v>0</v>
      </c>
      <c r="CG41" s="100">
        <f t="shared" si="48"/>
        <v>0</v>
      </c>
      <c r="CH41" s="117">
        <f t="shared" si="47"/>
        <v>19.4</v>
      </c>
      <c r="CI41" s="117">
        <f t="shared" si="47"/>
        <v>4.6</v>
      </c>
      <c r="CJ41" s="117">
        <f t="shared" si="47"/>
        <v>22.9</v>
      </c>
      <c r="CK41" s="119">
        <v>25</v>
      </c>
      <c r="CL41" s="120">
        <f t="shared" si="40"/>
        <v>0</v>
      </c>
      <c r="CM41" s="208">
        <v>0.8</v>
      </c>
      <c r="CN41" s="209">
        <f t="shared" si="20"/>
        <v>0</v>
      </c>
      <c r="CO41" s="210">
        <f t="shared" si="37"/>
        <v>0</v>
      </c>
      <c r="CP41" s="156"/>
      <c r="CQ41" s="85">
        <v>600</v>
      </c>
      <c r="CR41" s="124">
        <f t="shared" si="21"/>
        <v>0</v>
      </c>
      <c r="CT41" s="119">
        <f>(2*0.8+1)/3</f>
        <v>0.8666666666666667</v>
      </c>
      <c r="CU41" s="119">
        <f t="shared" si="38"/>
        <v>3.7006666666666663</v>
      </c>
      <c r="CV41" s="120">
        <f t="shared" si="22"/>
        <v>0</v>
      </c>
      <c r="CW41" s="119"/>
      <c r="CX41" s="119"/>
    </row>
    <row r="42" spans="1:102" s="85" customFormat="1" ht="18" customHeight="1">
      <c r="A42" s="125" t="s">
        <v>270</v>
      </c>
      <c r="B42" s="126"/>
      <c r="C42" s="365"/>
      <c r="D42" s="358">
        <v>4.369287249555472</v>
      </c>
      <c r="E42" s="188"/>
      <c r="F42" s="188"/>
      <c r="G42" s="418">
        <f t="shared" si="23"/>
      </c>
      <c r="H42" s="503" t="s">
        <v>308</v>
      </c>
      <c r="I42" s="384">
        <f>IF(O35=0,IF((60-I39)&lt;0,I41*$N35*1000,""),IF((60-I39)&lt;0,I41*$O35*1000,""))</f>
      </c>
      <c r="J42" s="384">
        <f>IF(O36=0,IF(J39&lt;0,J41*$N36*1000,""),IF(J39&lt;0,J41*$O36*1000,""))</f>
      </c>
      <c r="K42" s="384">
        <f>IF(O37=0,IF(K39&lt;0,K41*$N37*1000,""),IF(K39&lt;0,K41*$O37*1000,""))</f>
      </c>
      <c r="L42" s="570" t="s">
        <v>313</v>
      </c>
      <c r="M42" s="566"/>
      <c r="N42" s="566"/>
      <c r="O42" s="566"/>
      <c r="P42" s="566"/>
      <c r="V42" s="373">
        <f t="shared" si="2"/>
        <v>0</v>
      </c>
      <c r="AP42" s="187"/>
      <c r="AR42" s="192"/>
      <c r="AS42" s="192"/>
      <c r="AT42" s="192"/>
      <c r="AU42" s="194"/>
      <c r="AV42" s="195"/>
      <c r="AW42" s="196"/>
      <c r="AX42" s="197"/>
      <c r="AY42" s="197"/>
      <c r="AZ42" s="194"/>
      <c r="BA42" s="194"/>
      <c r="BB42" s="198"/>
      <c r="BC42" s="143">
        <v>5</v>
      </c>
      <c r="BD42" s="109">
        <f t="shared" si="46"/>
        <v>0</v>
      </c>
      <c r="BE42" s="143"/>
      <c r="BF42" s="199"/>
      <c r="BG42" s="109">
        <f t="shared" si="31"/>
        <v>0</v>
      </c>
      <c r="BH42" s="110"/>
      <c r="BI42" s="110">
        <f>1.049/3</f>
        <v>0.3496666666666666</v>
      </c>
      <c r="BJ42" s="144">
        <f t="shared" si="32"/>
        <v>0.3496666666666666</v>
      </c>
      <c r="BK42" s="112">
        <f t="shared" si="33"/>
        <v>0</v>
      </c>
      <c r="BL42" s="112">
        <f t="shared" si="33"/>
        <v>0</v>
      </c>
      <c r="BM42" s="114">
        <f t="shared" si="33"/>
        <v>0</v>
      </c>
      <c r="BN42" s="114">
        <f t="shared" si="34"/>
        <v>0</v>
      </c>
      <c r="BO42" s="114">
        <f t="shared" si="34"/>
        <v>0</v>
      </c>
      <c r="BP42" s="114">
        <f t="shared" si="34"/>
        <v>0</v>
      </c>
      <c r="BQ42" s="114">
        <f t="shared" si="12"/>
        <v>0</v>
      </c>
      <c r="BR42" s="115">
        <f t="shared" si="13"/>
        <v>0</v>
      </c>
      <c r="BS42" s="115">
        <f t="shared" si="14"/>
        <v>0</v>
      </c>
      <c r="BT42" s="115">
        <f t="shared" si="35"/>
        <v>0</v>
      </c>
      <c r="BU42" s="145"/>
      <c r="BV42" s="184">
        <v>21.7</v>
      </c>
      <c r="BW42" s="184">
        <v>5.8</v>
      </c>
      <c r="BX42" s="184">
        <v>25.1</v>
      </c>
      <c r="BY42" s="186"/>
      <c r="BZ42" s="186"/>
      <c r="CA42" s="186"/>
      <c r="CB42" s="100">
        <f t="shared" si="16"/>
        <v>0</v>
      </c>
      <c r="CC42" s="100">
        <f t="shared" si="17"/>
        <v>0</v>
      </c>
      <c r="CD42" s="100">
        <f t="shared" si="18"/>
        <v>0</v>
      </c>
      <c r="CE42" s="100">
        <f t="shared" si="48"/>
        <v>0</v>
      </c>
      <c r="CF42" s="100">
        <f t="shared" si="48"/>
        <v>0</v>
      </c>
      <c r="CG42" s="100">
        <f t="shared" si="48"/>
        <v>0</v>
      </c>
      <c r="CH42" s="117">
        <f t="shared" si="47"/>
        <v>21.7</v>
      </c>
      <c r="CI42" s="117">
        <f t="shared" si="47"/>
        <v>5.8</v>
      </c>
      <c r="CJ42" s="117">
        <f t="shared" si="47"/>
        <v>25.1</v>
      </c>
      <c r="CK42" s="119"/>
      <c r="CL42" s="120">
        <f t="shared" si="40"/>
        <v>0</v>
      </c>
      <c r="CM42" s="208">
        <v>0.8</v>
      </c>
      <c r="CN42" s="209">
        <f t="shared" si="20"/>
        <v>0</v>
      </c>
      <c r="CO42" s="210">
        <f t="shared" si="37"/>
        <v>0</v>
      </c>
      <c r="CP42" s="156"/>
      <c r="CQ42" s="85">
        <v>600</v>
      </c>
      <c r="CR42" s="124">
        <f t="shared" si="21"/>
        <v>0</v>
      </c>
      <c r="CT42" s="119">
        <f>(2*0.8+1)/3</f>
        <v>0.8666666666666667</v>
      </c>
      <c r="CU42" s="119">
        <f t="shared" si="38"/>
        <v>3.7006666666666663</v>
      </c>
      <c r="CV42" s="120">
        <f t="shared" si="22"/>
        <v>0</v>
      </c>
      <c r="CW42" s="119"/>
      <c r="CX42" s="119"/>
    </row>
    <row r="43" spans="1:102" s="85" customFormat="1" ht="18" customHeight="1">
      <c r="A43" s="125" t="s">
        <v>125</v>
      </c>
      <c r="B43" s="126"/>
      <c r="C43" s="365"/>
      <c r="D43" s="358">
        <v>0.2</v>
      </c>
      <c r="E43" s="214"/>
      <c r="F43" s="79">
        <f>B43-E43</f>
        <v>0</v>
      </c>
      <c r="G43" s="418">
        <f t="shared" si="23"/>
      </c>
      <c r="I43" s="502"/>
      <c r="J43" s="502"/>
      <c r="K43" s="502"/>
      <c r="L43" s="566" t="s">
        <v>312</v>
      </c>
      <c r="M43" s="566"/>
      <c r="N43" s="566"/>
      <c r="O43" s="566"/>
      <c r="P43" s="566"/>
      <c r="R43" s="215"/>
      <c r="S43" s="216"/>
      <c r="V43" s="373">
        <f t="shared" si="2"/>
        <v>0</v>
      </c>
      <c r="AP43" s="217">
        <v>8</v>
      </c>
      <c r="AR43" s="106">
        <f>C43*AP43*E43</f>
        <v>0</v>
      </c>
      <c r="AS43" s="101">
        <f>IF(E43=0,0,AR43/E43)</f>
        <v>0</v>
      </c>
      <c r="AT43" s="102">
        <f>B43-E43</f>
        <v>0</v>
      </c>
      <c r="AU43" s="106">
        <f>C43*AP43*AT43</f>
        <v>0</v>
      </c>
      <c r="AV43" s="103">
        <v>0.8</v>
      </c>
      <c r="AW43" s="104">
        <f>AV43*0.52</f>
        <v>0.41600000000000004</v>
      </c>
      <c r="AX43" s="105">
        <v>0.1</v>
      </c>
      <c r="AY43" s="105">
        <f>AX43/AW43</f>
        <v>0.24038461538461536</v>
      </c>
      <c r="AZ43" s="106">
        <f>AU43*AV43</f>
        <v>0</v>
      </c>
      <c r="BA43" s="106" t="e">
        <f>AZ43/AT43</f>
        <v>#DIV/0!</v>
      </c>
      <c r="BB43" s="218">
        <f>AU43*AX43</f>
        <v>0</v>
      </c>
      <c r="BC43" s="108">
        <v>4</v>
      </c>
      <c r="BD43" s="109">
        <f t="shared" si="46"/>
        <v>0</v>
      </c>
      <c r="BE43" s="108">
        <v>4</v>
      </c>
      <c r="BF43" s="109">
        <f>AT43*BE43</f>
        <v>0</v>
      </c>
      <c r="BG43" s="109">
        <f>BD43+BF43</f>
        <v>0</v>
      </c>
      <c r="BH43" s="110"/>
      <c r="BI43" s="110"/>
      <c r="BJ43" s="111">
        <f>BI43-BH43</f>
        <v>0</v>
      </c>
      <c r="BK43" s="112">
        <f t="shared" si="33"/>
        <v>0</v>
      </c>
      <c r="BL43" s="112">
        <f t="shared" si="33"/>
        <v>0</v>
      </c>
      <c r="BM43" s="113">
        <f t="shared" si="33"/>
        <v>0</v>
      </c>
      <c r="BN43" s="114">
        <f t="shared" si="34"/>
        <v>0</v>
      </c>
      <c r="BO43" s="114">
        <f t="shared" si="34"/>
        <v>0</v>
      </c>
      <c r="BP43" s="113">
        <f t="shared" si="34"/>
        <v>0</v>
      </c>
      <c r="BQ43" s="113">
        <f t="shared" si="12"/>
        <v>0</v>
      </c>
      <c r="BR43" s="115">
        <f t="shared" si="13"/>
        <v>0</v>
      </c>
      <c r="BS43" s="115">
        <f t="shared" si="14"/>
        <v>0</v>
      </c>
      <c r="BT43" s="115">
        <f>BR43+BS43</f>
        <v>0</v>
      </c>
      <c r="BU43" s="116">
        <f>(B43-E43)*BM43</f>
        <v>0</v>
      </c>
      <c r="BV43" s="184">
        <v>55</v>
      </c>
      <c r="BW43" s="184">
        <v>14.6</v>
      </c>
      <c r="BX43" s="184">
        <v>12.5</v>
      </c>
      <c r="BY43" s="119">
        <v>15</v>
      </c>
      <c r="BZ43" s="119">
        <v>3</v>
      </c>
      <c r="CA43" s="119">
        <v>26</v>
      </c>
      <c r="CB43" s="100">
        <f t="shared" si="16"/>
        <v>0</v>
      </c>
      <c r="CC43" s="100">
        <f t="shared" si="17"/>
        <v>0</v>
      </c>
      <c r="CD43" s="100">
        <f t="shared" si="18"/>
        <v>0</v>
      </c>
      <c r="CE43" s="100">
        <f t="shared" si="48"/>
        <v>0</v>
      </c>
      <c r="CF43" s="100">
        <f t="shared" si="48"/>
        <v>0</v>
      </c>
      <c r="CG43" s="100">
        <f t="shared" si="48"/>
        <v>0</v>
      </c>
      <c r="CH43" s="117">
        <f aca="true" t="shared" si="49" ref="CH43:CJ44">BV43+$AP43*BY43</f>
        <v>175</v>
      </c>
      <c r="CI43" s="117">
        <f t="shared" si="49"/>
        <v>38.6</v>
      </c>
      <c r="CJ43" s="118">
        <f t="shared" si="49"/>
        <v>220.5</v>
      </c>
      <c r="CK43" s="119">
        <v>240</v>
      </c>
      <c r="CL43" s="120"/>
      <c r="CM43" s="208">
        <v>0.8</v>
      </c>
      <c r="CN43" s="209">
        <f t="shared" si="20"/>
        <v>0</v>
      </c>
      <c r="CO43" s="210">
        <f>CM43*CN43</f>
        <v>0</v>
      </c>
      <c r="CQ43" s="85">
        <v>600</v>
      </c>
      <c r="CR43" s="124">
        <f t="shared" si="21"/>
        <v>0</v>
      </c>
      <c r="CT43" s="119">
        <v>0.8</v>
      </c>
      <c r="CU43" s="119">
        <f>CT43*CU$6</f>
        <v>3.416</v>
      </c>
      <c r="CV43" s="120">
        <f t="shared" si="22"/>
        <v>0</v>
      </c>
      <c r="CW43" s="119"/>
      <c r="CX43" s="119"/>
    </row>
    <row r="44" spans="1:102" s="85" customFormat="1" ht="18" customHeight="1">
      <c r="A44" s="125" t="s">
        <v>126</v>
      </c>
      <c r="B44" s="126"/>
      <c r="C44" s="365"/>
      <c r="D44" s="358">
        <v>1</v>
      </c>
      <c r="E44" s="214"/>
      <c r="F44" s="79">
        <f>B44-E44</f>
        <v>0</v>
      </c>
      <c r="G44" s="418">
        <f t="shared" si="23"/>
      </c>
      <c r="H44" s="377" t="s">
        <v>133</v>
      </c>
      <c r="I44" s="389" t="s">
        <v>134</v>
      </c>
      <c r="J44" s="389" t="s">
        <v>178</v>
      </c>
      <c r="K44" s="264" t="s">
        <v>181</v>
      </c>
      <c r="L44" s="264"/>
      <c r="M44" s="264"/>
      <c r="V44" s="373">
        <f t="shared" si="2"/>
        <v>0</v>
      </c>
      <c r="AP44" s="217">
        <v>8</v>
      </c>
      <c r="AR44" s="106">
        <f>C44*AP44*E44</f>
        <v>0</v>
      </c>
      <c r="AS44" s="101">
        <f>IF(E44=0,0,AR44/E44)</f>
        <v>0</v>
      </c>
      <c r="AT44" s="102">
        <f>B44-E44</f>
        <v>0</v>
      </c>
      <c r="AU44" s="106">
        <f>C44*AP44*AT44</f>
        <v>0</v>
      </c>
      <c r="AV44" s="103">
        <v>0.8</v>
      </c>
      <c r="AW44" s="104">
        <f>AV44*0.52</f>
        <v>0.41600000000000004</v>
      </c>
      <c r="AX44" s="105">
        <v>0.1</v>
      </c>
      <c r="AY44" s="105">
        <f>AX44/AW44</f>
        <v>0.24038461538461536</v>
      </c>
      <c r="AZ44" s="106">
        <f>AU44*AV44</f>
        <v>0</v>
      </c>
      <c r="BA44" s="106" t="e">
        <f>AZ44/AT44</f>
        <v>#DIV/0!</v>
      </c>
      <c r="BB44" s="218">
        <f>AU44*AX44</f>
        <v>0</v>
      </c>
      <c r="BC44" s="108">
        <v>5</v>
      </c>
      <c r="BD44" s="109">
        <f t="shared" si="46"/>
        <v>0</v>
      </c>
      <c r="BE44" s="108">
        <v>3</v>
      </c>
      <c r="BF44" s="109">
        <f>AT44*BE44</f>
        <v>0</v>
      </c>
      <c r="BG44" s="109">
        <f>BD44+BF44</f>
        <v>0</v>
      </c>
      <c r="BH44" s="131"/>
      <c r="BI44" s="131"/>
      <c r="BJ44" s="111">
        <f>BI44-BH44</f>
        <v>0</v>
      </c>
      <c r="BK44" s="112">
        <f t="shared" si="33"/>
        <v>0</v>
      </c>
      <c r="BL44" s="112">
        <f t="shared" si="33"/>
        <v>0</v>
      </c>
      <c r="BM44" s="113">
        <f t="shared" si="33"/>
        <v>0</v>
      </c>
      <c r="BN44" s="114">
        <f t="shared" si="34"/>
        <v>0</v>
      </c>
      <c r="BO44" s="114">
        <f t="shared" si="34"/>
        <v>0</v>
      </c>
      <c r="BP44" s="113">
        <f t="shared" si="34"/>
        <v>0</v>
      </c>
      <c r="BQ44" s="113">
        <f t="shared" si="12"/>
        <v>0</v>
      </c>
      <c r="BR44" s="115">
        <f t="shared" si="13"/>
        <v>0</v>
      </c>
      <c r="BS44" s="115">
        <f t="shared" si="14"/>
        <v>0</v>
      </c>
      <c r="BT44" s="115">
        <f>BR44+BS44</f>
        <v>0</v>
      </c>
      <c r="BU44" s="116">
        <f>(B44-E44)*BM44</f>
        <v>0</v>
      </c>
      <c r="BV44" s="184">
        <v>22.1</v>
      </c>
      <c r="BW44" s="184">
        <v>7.8</v>
      </c>
      <c r="BX44" s="184">
        <v>6.6</v>
      </c>
      <c r="BY44" s="119">
        <v>15</v>
      </c>
      <c r="BZ44" s="119">
        <v>3</v>
      </c>
      <c r="CA44" s="119">
        <v>26</v>
      </c>
      <c r="CB44" s="100">
        <f t="shared" si="16"/>
        <v>0</v>
      </c>
      <c r="CC44" s="100">
        <f t="shared" si="17"/>
        <v>0</v>
      </c>
      <c r="CD44" s="100">
        <f t="shared" si="18"/>
        <v>0</v>
      </c>
      <c r="CE44" s="100">
        <f t="shared" si="48"/>
        <v>0</v>
      </c>
      <c r="CF44" s="100">
        <f t="shared" si="48"/>
        <v>0</v>
      </c>
      <c r="CG44" s="100">
        <f t="shared" si="48"/>
        <v>0</v>
      </c>
      <c r="CH44" s="117">
        <f t="shared" si="49"/>
        <v>142.1</v>
      </c>
      <c r="CI44" s="117">
        <f t="shared" si="49"/>
        <v>31.8</v>
      </c>
      <c r="CJ44" s="118">
        <f t="shared" si="49"/>
        <v>214.6</v>
      </c>
      <c r="CK44" s="119"/>
      <c r="CL44" s="120"/>
      <c r="CM44" s="208">
        <v>0.8</v>
      </c>
      <c r="CN44" s="209">
        <f t="shared" si="20"/>
        <v>0</v>
      </c>
      <c r="CO44" s="210">
        <f>CM44*CN44</f>
        <v>0</v>
      </c>
      <c r="CQ44" s="85">
        <v>600</v>
      </c>
      <c r="CR44" s="124">
        <f t="shared" si="21"/>
        <v>0</v>
      </c>
      <c r="CT44" s="119">
        <v>0.8</v>
      </c>
      <c r="CU44" s="119">
        <f>CT44*CU$6</f>
        <v>3.416</v>
      </c>
      <c r="CV44" s="120">
        <f t="shared" si="22"/>
        <v>0</v>
      </c>
      <c r="CW44" s="119"/>
      <c r="CX44" s="119"/>
    </row>
    <row r="45" spans="1:102" s="85" customFormat="1" ht="18" customHeight="1">
      <c r="A45" s="125" t="s">
        <v>127</v>
      </c>
      <c r="B45" s="126"/>
      <c r="C45" s="365"/>
      <c r="D45" s="358">
        <v>23.61</v>
      </c>
      <c r="E45" s="147"/>
      <c r="F45" s="188"/>
      <c r="G45" s="419"/>
      <c r="H45" s="388" t="s">
        <v>179</v>
      </c>
      <c r="I45" s="239">
        <f>CP56</f>
        <v>0</v>
      </c>
      <c r="J45" s="240">
        <f>CR51*(-1)</f>
        <v>0</v>
      </c>
      <c r="K45" s="570" t="s">
        <v>180</v>
      </c>
      <c r="L45" s="566"/>
      <c r="M45" s="566"/>
      <c r="N45" s="571"/>
      <c r="O45" s="213"/>
      <c r="P45" s="213"/>
      <c r="R45" s="219" t="s">
        <v>128</v>
      </c>
      <c r="S45" s="220" t="s">
        <v>129</v>
      </c>
      <c r="V45" s="373">
        <f t="shared" si="2"/>
        <v>0</v>
      </c>
      <c r="AP45" s="187"/>
      <c r="AR45" s="221"/>
      <c r="AS45" s="221"/>
      <c r="AT45" s="221"/>
      <c r="AU45" s="221"/>
      <c r="AV45" s="222"/>
      <c r="AW45" s="223"/>
      <c r="AX45" s="223"/>
      <c r="AY45" s="223"/>
      <c r="AZ45" s="221"/>
      <c r="BA45" s="221"/>
      <c r="BB45" s="224"/>
      <c r="BC45" s="199"/>
      <c r="BD45" s="199"/>
      <c r="BE45" s="199"/>
      <c r="BF45" s="199"/>
      <c r="BG45" s="109">
        <f t="shared" si="31"/>
        <v>0</v>
      </c>
      <c r="BH45" s="110"/>
      <c r="BI45" s="110"/>
      <c r="BJ45" s="144">
        <f t="shared" si="32"/>
        <v>0</v>
      </c>
      <c r="BK45" s="112">
        <f t="shared" si="33"/>
        <v>0</v>
      </c>
      <c r="BL45" s="112">
        <f t="shared" si="33"/>
        <v>0</v>
      </c>
      <c r="BM45" s="114">
        <f t="shared" si="33"/>
        <v>0</v>
      </c>
      <c r="BN45" s="114">
        <f t="shared" si="34"/>
        <v>0</v>
      </c>
      <c r="BO45" s="114">
        <f t="shared" si="34"/>
        <v>0</v>
      </c>
      <c r="BP45" s="114">
        <f t="shared" si="34"/>
        <v>0</v>
      </c>
      <c r="BQ45" s="114">
        <f t="shared" si="12"/>
        <v>0</v>
      </c>
      <c r="BR45" s="115">
        <f t="shared" si="13"/>
        <v>0</v>
      </c>
      <c r="BS45" s="115">
        <f t="shared" si="14"/>
        <v>0</v>
      </c>
      <c r="BT45" s="115">
        <f t="shared" si="35"/>
        <v>0</v>
      </c>
      <c r="BU45" s="145"/>
      <c r="BV45" s="184">
        <v>3.5</v>
      </c>
      <c r="BW45" s="185">
        <f>0.5*2.92</f>
        <v>1.46</v>
      </c>
      <c r="BX45" s="185">
        <f>3.3*1.204</f>
        <v>3.9732</v>
      </c>
      <c r="BY45" s="186"/>
      <c r="BZ45" s="186"/>
      <c r="CA45" s="186"/>
      <c r="CB45" s="100">
        <f t="shared" si="16"/>
        <v>0</v>
      </c>
      <c r="CC45" s="100">
        <f t="shared" si="17"/>
        <v>0</v>
      </c>
      <c r="CD45" s="100">
        <f t="shared" si="18"/>
        <v>0</v>
      </c>
      <c r="CE45" s="100">
        <f t="shared" si="48"/>
        <v>0</v>
      </c>
      <c r="CF45" s="100">
        <f t="shared" si="48"/>
        <v>0</v>
      </c>
      <c r="CG45" s="100">
        <f t="shared" si="48"/>
        <v>0</v>
      </c>
      <c r="CH45" s="117">
        <f>BV45</f>
        <v>3.5</v>
      </c>
      <c r="CI45" s="117">
        <f>BW45</f>
        <v>1.46</v>
      </c>
      <c r="CJ45" s="117">
        <f>BX45</f>
        <v>3.9732</v>
      </c>
      <c r="CK45" s="119"/>
      <c r="CL45" s="120"/>
      <c r="CM45" s="137">
        <v>-3.2</v>
      </c>
      <c r="CN45" s="138">
        <f t="shared" si="20"/>
        <v>0</v>
      </c>
      <c r="CO45" s="139">
        <f t="shared" si="37"/>
        <v>0</v>
      </c>
      <c r="CQ45" s="85">
        <v>-760</v>
      </c>
      <c r="CR45" s="124">
        <f t="shared" si="21"/>
        <v>0</v>
      </c>
      <c r="CT45" s="119">
        <v>1.1</v>
      </c>
      <c r="CU45" s="119">
        <f t="shared" si="38"/>
        <v>4.697</v>
      </c>
      <c r="CV45" s="120">
        <f t="shared" si="22"/>
        <v>0</v>
      </c>
      <c r="CW45" s="119"/>
      <c r="CX45" s="119"/>
    </row>
    <row r="46" spans="1:102" s="85" customFormat="1" ht="18" customHeight="1">
      <c r="A46" s="125" t="s">
        <v>130</v>
      </c>
      <c r="B46" s="126"/>
      <c r="C46" s="365"/>
      <c r="D46" s="358">
        <v>4.11</v>
      </c>
      <c r="E46" s="225"/>
      <c r="F46" s="188"/>
      <c r="G46" s="419"/>
      <c r="H46" s="260" t="s">
        <v>138</v>
      </c>
      <c r="I46" s="261">
        <f>AZ60</f>
        <v>0</v>
      </c>
      <c r="J46" s="262">
        <f>BB60</f>
        <v>0</v>
      </c>
      <c r="K46" s="555" t="s">
        <v>315</v>
      </c>
      <c r="L46" s="556"/>
      <c r="M46" s="556"/>
      <c r="N46" s="556"/>
      <c r="O46" s="556"/>
      <c r="P46" s="556"/>
      <c r="R46" s="228" t="e">
        <f>#REF!/0.52</f>
        <v>#REF!</v>
      </c>
      <c r="S46" s="229"/>
      <c r="V46" s="373">
        <f t="shared" si="2"/>
        <v>0</v>
      </c>
      <c r="AP46" s="187"/>
      <c r="AR46" s="221"/>
      <c r="AS46" s="221"/>
      <c r="AT46" s="221"/>
      <c r="AU46" s="221"/>
      <c r="AV46" s="222"/>
      <c r="AW46" s="223"/>
      <c r="AX46" s="223"/>
      <c r="AY46" s="223"/>
      <c r="AZ46" s="221"/>
      <c r="BA46" s="221"/>
      <c r="BB46" s="224"/>
      <c r="BC46" s="199"/>
      <c r="BD46" s="199"/>
      <c r="BE46" s="199"/>
      <c r="BF46" s="199"/>
      <c r="BG46" s="109">
        <f t="shared" si="31"/>
        <v>0</v>
      </c>
      <c r="BH46" s="110"/>
      <c r="BI46" s="110"/>
      <c r="BJ46" s="144">
        <f t="shared" si="32"/>
        <v>0</v>
      </c>
      <c r="BK46" s="112">
        <f t="shared" si="33"/>
        <v>0</v>
      </c>
      <c r="BL46" s="112">
        <f t="shared" si="33"/>
        <v>0</v>
      </c>
      <c r="BM46" s="114">
        <f t="shared" si="33"/>
        <v>0</v>
      </c>
      <c r="BN46" s="114">
        <f t="shared" si="34"/>
        <v>0</v>
      </c>
      <c r="BO46" s="114">
        <f t="shared" si="34"/>
        <v>0</v>
      </c>
      <c r="BP46" s="114">
        <f t="shared" si="34"/>
        <v>0</v>
      </c>
      <c r="BQ46" s="114">
        <f t="shared" si="12"/>
        <v>0</v>
      </c>
      <c r="BR46" s="115">
        <f t="shared" si="13"/>
        <v>0</v>
      </c>
      <c r="BS46" s="115">
        <f t="shared" si="14"/>
        <v>0</v>
      </c>
      <c r="BT46" s="115">
        <f t="shared" si="35"/>
        <v>0</v>
      </c>
      <c r="BU46" s="145"/>
      <c r="BV46" s="184"/>
      <c r="BW46" s="185"/>
      <c r="BX46" s="185"/>
      <c r="BY46" s="186"/>
      <c r="BZ46" s="186"/>
      <c r="CA46" s="186"/>
      <c r="CB46" s="100"/>
      <c r="CC46" s="100"/>
      <c r="CD46" s="100"/>
      <c r="CE46" s="100"/>
      <c r="CF46" s="100"/>
      <c r="CG46" s="100"/>
      <c r="CH46" s="117"/>
      <c r="CI46" s="117"/>
      <c r="CJ46" s="117"/>
      <c r="CK46" s="119"/>
      <c r="CL46" s="120"/>
      <c r="CM46" s="208">
        <v>-0.4</v>
      </c>
      <c r="CN46" s="209">
        <f t="shared" si="20"/>
        <v>0</v>
      </c>
      <c r="CO46" s="210">
        <f t="shared" si="37"/>
        <v>0</v>
      </c>
      <c r="CQ46" s="85">
        <v>0</v>
      </c>
      <c r="CR46" s="124">
        <f t="shared" si="21"/>
        <v>0</v>
      </c>
      <c r="CT46" s="119">
        <v>1</v>
      </c>
      <c r="CU46" s="119">
        <f t="shared" si="38"/>
        <v>4.27</v>
      </c>
      <c r="CV46" s="120">
        <f t="shared" si="22"/>
        <v>0</v>
      </c>
      <c r="CW46" s="119"/>
      <c r="CX46" s="119"/>
    </row>
    <row r="47" spans="1:102" s="85" customFormat="1" ht="18" customHeight="1">
      <c r="A47" s="125" t="s">
        <v>131</v>
      </c>
      <c r="B47" s="126"/>
      <c r="C47" s="230"/>
      <c r="D47" s="359"/>
      <c r="E47" s="225"/>
      <c r="F47" s="188"/>
      <c r="G47" s="419"/>
      <c r="H47" s="260" t="s">
        <v>141</v>
      </c>
      <c r="I47" s="281">
        <f>AZ61</f>
        <v>0</v>
      </c>
      <c r="J47" s="282"/>
      <c r="K47" s="392" t="s">
        <v>293</v>
      </c>
      <c r="L47" s="392"/>
      <c r="M47" s="392"/>
      <c r="N47" s="391"/>
      <c r="O47" s="232"/>
      <c r="P47" s="232"/>
      <c r="R47" s="551" t="e">
        <f>K47/0.52</f>
        <v>#VALUE!</v>
      </c>
      <c r="S47" s="224"/>
      <c r="V47" s="374"/>
      <c r="AP47" s="187"/>
      <c r="AR47" s="221"/>
      <c r="AS47" s="221"/>
      <c r="AT47" s="221"/>
      <c r="AU47" s="221"/>
      <c r="AV47" s="222"/>
      <c r="AW47" s="223"/>
      <c r="AX47" s="223"/>
      <c r="AY47" s="223"/>
      <c r="AZ47" s="221"/>
      <c r="BA47" s="221"/>
      <c r="BB47" s="224"/>
      <c r="BC47" s="199"/>
      <c r="BD47" s="199"/>
      <c r="BE47" s="199"/>
      <c r="BF47" s="199"/>
      <c r="BG47" s="109">
        <f t="shared" si="31"/>
        <v>0</v>
      </c>
      <c r="BH47" s="110"/>
      <c r="BI47" s="110"/>
      <c r="BJ47" s="144">
        <f t="shared" si="32"/>
        <v>0</v>
      </c>
      <c r="BK47" s="112">
        <f t="shared" si="33"/>
        <v>0</v>
      </c>
      <c r="BL47" s="112">
        <f t="shared" si="33"/>
        <v>0</v>
      </c>
      <c r="BM47" s="114">
        <f t="shared" si="33"/>
        <v>0</v>
      </c>
      <c r="BN47" s="114">
        <f t="shared" si="34"/>
        <v>0</v>
      </c>
      <c r="BO47" s="114">
        <f t="shared" si="34"/>
        <v>0</v>
      </c>
      <c r="BP47" s="114">
        <f t="shared" si="34"/>
        <v>0</v>
      </c>
      <c r="BQ47" s="114">
        <f t="shared" si="12"/>
        <v>0</v>
      </c>
      <c r="BR47" s="115">
        <f t="shared" si="13"/>
        <v>0</v>
      </c>
      <c r="BS47" s="115">
        <f t="shared" si="14"/>
        <v>0</v>
      </c>
      <c r="BT47" s="115">
        <f t="shared" si="35"/>
        <v>0</v>
      </c>
      <c r="BU47" s="145"/>
      <c r="BV47" s="184"/>
      <c r="BW47" s="185"/>
      <c r="BX47" s="185"/>
      <c r="BY47" s="186"/>
      <c r="BZ47" s="186"/>
      <c r="CA47" s="186"/>
      <c r="CB47" s="100"/>
      <c r="CC47" s="100"/>
      <c r="CD47" s="100"/>
      <c r="CE47" s="100"/>
      <c r="CF47" s="100"/>
      <c r="CG47" s="100"/>
      <c r="CH47" s="117"/>
      <c r="CI47" s="117"/>
      <c r="CJ47" s="117"/>
      <c r="CK47" s="119"/>
      <c r="CL47" s="120"/>
      <c r="CM47" s="208">
        <v>0.6</v>
      </c>
      <c r="CN47" s="209">
        <f t="shared" si="20"/>
        <v>0</v>
      </c>
      <c r="CO47" s="210">
        <f>CM47*CN47</f>
        <v>0</v>
      </c>
      <c r="CR47" s="124"/>
      <c r="CT47" s="119">
        <v>1</v>
      </c>
      <c r="CU47" s="119">
        <f t="shared" si="38"/>
        <v>4.27</v>
      </c>
      <c r="CV47" s="120">
        <f t="shared" si="22"/>
        <v>0</v>
      </c>
      <c r="CW47" s="119"/>
      <c r="CX47" s="119"/>
    </row>
    <row r="48" spans="1:102" s="85" customFormat="1" ht="18" customHeight="1">
      <c r="A48" s="125" t="s">
        <v>132</v>
      </c>
      <c r="B48" s="126"/>
      <c r="C48" s="230"/>
      <c r="D48" s="359"/>
      <c r="E48" s="225"/>
      <c r="F48" s="188"/>
      <c r="G48" s="419"/>
      <c r="H48" s="260" t="s">
        <v>143</v>
      </c>
      <c r="I48" s="281">
        <f>AZ62</f>
        <v>0</v>
      </c>
      <c r="J48" s="290">
        <f>BB62</f>
        <v>0</v>
      </c>
      <c r="K48" s="241"/>
      <c r="L48" s="241"/>
      <c r="M48" s="241"/>
      <c r="O48" s="232"/>
      <c r="P48" s="232"/>
      <c r="R48" s="551"/>
      <c r="S48" s="224"/>
      <c r="V48" s="374"/>
      <c r="AP48" s="187"/>
      <c r="AR48" s="221"/>
      <c r="AS48" s="221"/>
      <c r="AT48" s="221"/>
      <c r="AU48" s="221"/>
      <c r="AV48" s="222"/>
      <c r="AW48" s="223"/>
      <c r="AX48" s="223"/>
      <c r="AY48" s="223"/>
      <c r="AZ48" s="221"/>
      <c r="BA48" s="221"/>
      <c r="BB48" s="224"/>
      <c r="BC48" s="199"/>
      <c r="BD48" s="199"/>
      <c r="BE48" s="199"/>
      <c r="BF48" s="199"/>
      <c r="BG48" s="109">
        <f t="shared" si="31"/>
        <v>0</v>
      </c>
      <c r="BH48" s="110"/>
      <c r="BI48" s="110"/>
      <c r="BJ48" s="144">
        <f t="shared" si="32"/>
        <v>0</v>
      </c>
      <c r="BK48" s="112">
        <f t="shared" si="33"/>
        <v>0</v>
      </c>
      <c r="BL48" s="112">
        <f t="shared" si="33"/>
        <v>0</v>
      </c>
      <c r="BM48" s="114">
        <f t="shared" si="33"/>
        <v>0</v>
      </c>
      <c r="BN48" s="114">
        <f t="shared" si="34"/>
        <v>0</v>
      </c>
      <c r="BO48" s="114">
        <f t="shared" si="34"/>
        <v>0</v>
      </c>
      <c r="BP48" s="114">
        <f t="shared" si="34"/>
        <v>0</v>
      </c>
      <c r="BQ48" s="114">
        <f t="shared" si="12"/>
        <v>0</v>
      </c>
      <c r="BR48" s="115">
        <f t="shared" si="13"/>
        <v>0</v>
      </c>
      <c r="BS48" s="115">
        <f t="shared" si="14"/>
        <v>0</v>
      </c>
      <c r="BT48" s="115">
        <f t="shared" si="35"/>
        <v>0</v>
      </c>
      <c r="BU48" s="145"/>
      <c r="BV48" s="186"/>
      <c r="BW48" s="186"/>
      <c r="BX48" s="186"/>
      <c r="BY48" s="186"/>
      <c r="BZ48" s="186"/>
      <c r="CA48" s="186"/>
      <c r="CB48" s="233"/>
      <c r="CC48" s="233"/>
      <c r="CD48" s="233"/>
      <c r="CE48" s="233"/>
      <c r="CF48" s="233"/>
      <c r="CG48" s="233"/>
      <c r="CH48" s="119"/>
      <c r="CI48" s="119"/>
      <c r="CJ48" s="119"/>
      <c r="CK48" s="119"/>
      <c r="CL48" s="120"/>
      <c r="CM48" s="208">
        <v>1.6</v>
      </c>
      <c r="CN48" s="209">
        <f t="shared" si="20"/>
        <v>0</v>
      </c>
      <c r="CO48" s="210">
        <f t="shared" si="37"/>
        <v>0</v>
      </c>
      <c r="CP48" s="234">
        <f>(SUM(CN39:CN48))-CN45</f>
        <v>0</v>
      </c>
      <c r="CQ48" s="85">
        <v>180</v>
      </c>
      <c r="CR48" s="124">
        <f>B48*CQ48</f>
        <v>0</v>
      </c>
      <c r="CT48" s="119">
        <v>1</v>
      </c>
      <c r="CU48" s="119">
        <f t="shared" si="38"/>
        <v>4.27</v>
      </c>
      <c r="CV48" s="120">
        <f t="shared" si="22"/>
        <v>0</v>
      </c>
      <c r="CW48" s="119"/>
      <c r="CX48" s="119"/>
    </row>
    <row r="49" spans="1:102" s="16" customFormat="1" ht="18" customHeight="1">
      <c r="A49" s="235" t="s">
        <v>135</v>
      </c>
      <c r="B49" s="236">
        <f>(SUM(B7:B48))</f>
        <v>0</v>
      </c>
      <c r="C49" s="237"/>
      <c r="D49" s="238"/>
      <c r="E49" s="236">
        <f>(SUM(E7:E48))</f>
        <v>0</v>
      </c>
      <c r="F49" s="236">
        <f>(SUM(F7:F48))</f>
        <v>0</v>
      </c>
      <c r="G49" s="419"/>
      <c r="H49" s="260" t="s">
        <v>146</v>
      </c>
      <c r="I49" s="261">
        <f>AZ63</f>
        <v>0</v>
      </c>
      <c r="J49" s="262">
        <f>BB63</f>
        <v>0</v>
      </c>
      <c r="K49" s="241"/>
      <c r="L49" s="241"/>
      <c r="M49" s="241"/>
      <c r="O49" s="227"/>
      <c r="P49" s="227"/>
      <c r="Q49" s="242">
        <f>J45*B49</f>
        <v>0</v>
      </c>
      <c r="R49" s="243"/>
      <c r="S49" s="244">
        <f>IF(I45=0,"",(J45/I45)/0.52)</f>
      </c>
      <c r="T49" s="245" t="e">
        <f>I45/J45</f>
        <v>#DIV/0!</v>
      </c>
      <c r="U49" s="85"/>
      <c r="V49" s="236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P49" s="42" t="s">
        <v>136</v>
      </c>
      <c r="AR49" s="246">
        <f>SUM(AR7:AR48)</f>
        <v>0</v>
      </c>
      <c r="AS49" s="247"/>
      <c r="AT49" s="246">
        <f>SUM(AT7:AT48)</f>
        <v>0</v>
      </c>
      <c r="AU49" s="246">
        <f>SUM(AU7:AU48)</f>
        <v>0</v>
      </c>
      <c r="AV49" s="247"/>
      <c r="AW49" s="248"/>
      <c r="AX49" s="248"/>
      <c r="AY49" s="248"/>
      <c r="AZ49" s="246">
        <f>SUM(AZ7:AZ48)</f>
        <v>0</v>
      </c>
      <c r="BA49" s="246"/>
      <c r="BB49" s="249">
        <f>SUM(BB7:BB48)</f>
        <v>0</v>
      </c>
      <c r="BC49" s="250"/>
      <c r="BD49" s="246">
        <f>SUM(BD7:BD48)</f>
        <v>0</v>
      </c>
      <c r="BE49" s="250"/>
      <c r="BF49" s="246">
        <f>SUM(BF7:BF48)</f>
        <v>0</v>
      </c>
      <c r="BG49" s="246">
        <f>SUM(BG7:BG48)</f>
        <v>0</v>
      </c>
      <c r="BH49" s="251"/>
      <c r="BI49" s="251"/>
      <c r="BJ49" s="252"/>
      <c r="BK49" s="251"/>
      <c r="BL49" s="251"/>
      <c r="BM49" s="252"/>
      <c r="BN49" s="252"/>
      <c r="BO49" s="252"/>
      <c r="BP49" s="252"/>
      <c r="BQ49" s="251"/>
      <c r="BR49" s="251"/>
      <c r="BS49" s="251"/>
      <c r="BT49" s="251">
        <f>SUM(BT7:BT48)</f>
        <v>0</v>
      </c>
      <c r="BU49" s="251">
        <f>SUM(BU7:BU48)</f>
        <v>0</v>
      </c>
      <c r="CB49" s="246">
        <f>SUM(CB7:CB45)</f>
        <v>0</v>
      </c>
      <c r="CC49" s="246">
        <f>SUM(CC7:CC45)</f>
        <v>0</v>
      </c>
      <c r="CD49" s="246">
        <f>SUM(CD7:CD45)</f>
        <v>0</v>
      </c>
      <c r="CE49" s="253">
        <f>IF($B49=0,0,CB49/$B49)</f>
        <v>0</v>
      </c>
      <c r="CF49" s="253">
        <f>IF($B49=0,0,CC49/$B49)</f>
        <v>0</v>
      </c>
      <c r="CG49" s="253">
        <f>IF($B49=0,0,CD49/$B49)</f>
        <v>0</v>
      </c>
      <c r="CK49" s="254"/>
      <c r="CL49" s="255">
        <f>SUM(CL7:CL45)</f>
        <v>0</v>
      </c>
      <c r="CM49" s="256"/>
      <c r="CN49" s="257"/>
      <c r="CO49" s="258"/>
      <c r="CQ49" s="40">
        <v>120</v>
      </c>
      <c r="CR49" s="124">
        <f>B50*CQ49</f>
        <v>0</v>
      </c>
      <c r="CT49" s="42"/>
      <c r="CU49" s="42"/>
      <c r="CV49" s="255">
        <f>SUM(CV7:CV48)</f>
        <v>0</v>
      </c>
      <c r="CW49" s="42"/>
      <c r="CX49" s="42"/>
    </row>
    <row r="50" spans="1:100" s="264" customFormat="1" ht="18" customHeight="1">
      <c r="A50" s="401" t="s">
        <v>188</v>
      </c>
      <c r="B50" s="439"/>
      <c r="C50" s="399">
        <v>10</v>
      </c>
      <c r="D50" s="400" t="s">
        <v>137</v>
      </c>
      <c r="E50" s="259"/>
      <c r="F50" s="259"/>
      <c r="G50" s="175"/>
      <c r="H50" s="401" t="s">
        <v>149</v>
      </c>
      <c r="I50" s="415">
        <f>AZ64</f>
        <v>0</v>
      </c>
      <c r="J50" s="416">
        <f>BB64</f>
        <v>0</v>
      </c>
      <c r="K50" s="557" t="s">
        <v>190</v>
      </c>
      <c r="L50" s="558"/>
      <c r="M50" s="558"/>
      <c r="N50" s="558"/>
      <c r="O50" s="558"/>
      <c r="P50" s="558"/>
      <c r="Q50" s="242">
        <f>B49*J46</f>
        <v>0</v>
      </c>
      <c r="R50" s="266" t="e">
        <f>K50/0.52</f>
        <v>#VALUE!</v>
      </c>
      <c r="S50" s="244">
        <f>IF(I46=0,"",(J46/I46)/0.52)</f>
      </c>
      <c r="T50" s="245" t="e">
        <f>I46/J46</f>
        <v>#DIV/0!</v>
      </c>
      <c r="U50" s="85"/>
      <c r="V50" s="37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P50" s="187"/>
      <c r="AR50" s="267"/>
      <c r="AS50" s="268">
        <v>10</v>
      </c>
      <c r="AT50" s="269">
        <f>B50</f>
        <v>0</v>
      </c>
      <c r="AU50" s="269">
        <f>IF(C50=0,AS50*AT50,C50*AT50)</f>
        <v>0</v>
      </c>
      <c r="AV50" s="154">
        <v>0.1</v>
      </c>
      <c r="AW50" s="154">
        <f>AV50*0.52</f>
        <v>0.052000000000000005</v>
      </c>
      <c r="AX50" s="270">
        <v>0.008</v>
      </c>
      <c r="AY50" s="105">
        <f>AX50/AW50</f>
        <v>0.15384615384615383</v>
      </c>
      <c r="AZ50" s="269">
        <f>AU50*AV50</f>
        <v>0</v>
      </c>
      <c r="BA50" s="271"/>
      <c r="BB50" s="160">
        <f>AU50*AX50</f>
        <v>0</v>
      </c>
      <c r="BC50" s="272"/>
      <c r="BD50" s="273" t="e">
        <f>BD49/$B49</f>
        <v>#DIV/0!</v>
      </c>
      <c r="BE50" s="273"/>
      <c r="BF50" s="273" t="e">
        <f>BF49/$B49</f>
        <v>#DIV/0!</v>
      </c>
      <c r="BG50" s="273" t="e">
        <f>BG49/$B49</f>
        <v>#DIV/0!</v>
      </c>
      <c r="BH50" s="251"/>
      <c r="BI50" s="251"/>
      <c r="BJ50" s="252"/>
      <c r="BK50" s="251"/>
      <c r="BL50" s="251"/>
      <c r="BM50" s="252"/>
      <c r="BN50" s="252"/>
      <c r="BO50" s="252"/>
      <c r="BP50" s="252"/>
      <c r="BQ50" s="251"/>
      <c r="BR50" s="251"/>
      <c r="BS50" s="251"/>
      <c r="BT50" s="274">
        <f>IF($B49=0,0,BT49/$B49)</f>
        <v>0</v>
      </c>
      <c r="BU50" s="274">
        <f>IF($B49=0,0,BU49/$B49)</f>
        <v>0</v>
      </c>
      <c r="CK50" s="275" t="s">
        <v>139</v>
      </c>
      <c r="CL50" s="177">
        <f>IF(B56=0,0,CL49/B56)</f>
        <v>0</v>
      </c>
      <c r="CO50" s="276">
        <f>SUM(CO7:CO48)</f>
        <v>0</v>
      </c>
      <c r="CR50" s="277">
        <f>(SUM(CR7:CR49))</f>
        <v>0</v>
      </c>
      <c r="CS50" s="40">
        <v>80</v>
      </c>
      <c r="CV50" s="278">
        <f>IF(B49=0,0,CV49/B49)</f>
        <v>0</v>
      </c>
    </row>
    <row r="51" spans="1:96" s="264" customFormat="1" ht="18" customHeight="1">
      <c r="A51" s="125" t="s">
        <v>140</v>
      </c>
      <c r="B51" s="279"/>
      <c r="C51" s="366"/>
      <c r="D51" s="360">
        <v>1.37</v>
      </c>
      <c r="G51" s="280"/>
      <c r="H51" s="260" t="s">
        <v>276</v>
      </c>
      <c r="I51" s="261">
        <f>AI29</f>
        <v>0</v>
      </c>
      <c r="J51" s="262">
        <f>AJ29</f>
        <v>0</v>
      </c>
      <c r="K51" s="241"/>
      <c r="L51" s="241"/>
      <c r="M51" s="241"/>
      <c r="O51" s="283"/>
      <c r="P51" s="283"/>
      <c r="Q51" s="242"/>
      <c r="R51" s="243"/>
      <c r="S51" s="229"/>
      <c r="T51" s="245"/>
      <c r="U51" s="85"/>
      <c r="V51" s="373">
        <f>B51*C51</f>
        <v>0</v>
      </c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P51" s="187"/>
      <c r="AR51" s="28" t="str">
        <f>AR5</f>
        <v>Sklizeň</v>
      </c>
      <c r="AS51" s="30"/>
      <c r="AT51" s="552" t="str">
        <f>AT5</f>
        <v>Zapravení do půdy</v>
      </c>
      <c r="AU51" s="553"/>
      <c r="AV51" s="553"/>
      <c r="AW51" s="553"/>
      <c r="AX51" s="553"/>
      <c r="AY51" s="553"/>
      <c r="AZ51" s="554"/>
      <c r="BA51" s="284"/>
      <c r="BB51" s="285"/>
      <c r="BC51" s="286"/>
      <c r="BD51" s="286"/>
      <c r="BE51" s="286"/>
      <c r="BF51" s="286"/>
      <c r="BG51" s="285"/>
      <c r="BH51" s="287"/>
      <c r="BI51" s="287"/>
      <c r="BJ51" s="288"/>
      <c r="BK51" s="287"/>
      <c r="BL51" s="287"/>
      <c r="BM51" s="288"/>
      <c r="BN51" s="288"/>
      <c r="BO51" s="288"/>
      <c r="BP51" s="288"/>
      <c r="BQ51" s="287"/>
      <c r="BR51" s="287"/>
      <c r="BS51" s="287"/>
      <c r="BT51" s="287"/>
      <c r="BU51" s="274">
        <f>BT50-BU50</f>
        <v>0</v>
      </c>
      <c r="CR51" s="289">
        <f>IF(B49=0,0,(CR50/B49)/1000)</f>
        <v>0</v>
      </c>
    </row>
    <row r="52" spans="1:96" s="264" customFormat="1" ht="18" customHeight="1">
      <c r="A52" s="125" t="s">
        <v>142</v>
      </c>
      <c r="B52" s="126"/>
      <c r="C52" s="365"/>
      <c r="D52" s="358">
        <v>5.05</v>
      </c>
      <c r="E52" s="567" t="s">
        <v>32</v>
      </c>
      <c r="F52" s="568"/>
      <c r="G52" s="280"/>
      <c r="H52" s="309" t="s">
        <v>189</v>
      </c>
      <c r="I52" s="239">
        <f>SUM(I46:I51)</f>
        <v>0</v>
      </c>
      <c r="J52" s="372">
        <f>SUM(J46:J51)</f>
        <v>0</v>
      </c>
      <c r="K52" s="241"/>
      <c r="L52" s="241"/>
      <c r="M52" s="241"/>
      <c r="O52" s="283"/>
      <c r="P52" s="283"/>
      <c r="Q52" s="242"/>
      <c r="R52" s="243"/>
      <c r="S52" s="244">
        <f>IF(I48=0,"",(J48/I48)/0.52)</f>
      </c>
      <c r="T52" s="245" t="e">
        <f aca="true" t="shared" si="50" ref="T52:T57">I48/J48</f>
        <v>#DIV/0!</v>
      </c>
      <c r="U52" s="85"/>
      <c r="V52" s="373">
        <f>B52*C52</f>
        <v>0</v>
      </c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P52" s="42"/>
      <c r="AR52" s="291"/>
      <c r="AS52" s="30"/>
      <c r="AT52" s="291"/>
      <c r="AU52" s="291"/>
      <c r="AV52" s="292"/>
      <c r="AW52" s="292"/>
      <c r="AX52" s="292"/>
      <c r="AY52" s="292"/>
      <c r="AZ52" s="291"/>
      <c r="BA52" s="284"/>
      <c r="BB52" s="285"/>
      <c r="BC52" s="286"/>
      <c r="BD52" s="286"/>
      <c r="BE52" s="286"/>
      <c r="BF52" s="286"/>
      <c r="BG52" s="285"/>
      <c r="BH52" s="287"/>
      <c r="BI52" s="287"/>
      <c r="BJ52" s="288"/>
      <c r="BK52" s="287"/>
      <c r="BL52" s="287"/>
      <c r="BM52" s="288"/>
      <c r="BN52" s="288"/>
      <c r="BO52" s="288"/>
      <c r="BP52" s="288"/>
      <c r="BQ52" s="287"/>
      <c r="BR52" s="287"/>
      <c r="BS52" s="287"/>
      <c r="BT52" s="287"/>
      <c r="BU52" s="287"/>
      <c r="CR52" s="293"/>
    </row>
    <row r="53" spans="1:95" s="264" customFormat="1" ht="18" customHeight="1">
      <c r="A53" s="125" t="s">
        <v>144</v>
      </c>
      <c r="B53" s="126"/>
      <c r="C53" s="365"/>
      <c r="D53" s="358"/>
      <c r="E53" s="294">
        <f>AR53</f>
        <v>0</v>
      </c>
      <c r="F53" s="380" t="s">
        <v>145</v>
      </c>
      <c r="G53" s="280"/>
      <c r="H53" s="473" t="s">
        <v>296</v>
      </c>
      <c r="I53" s="474">
        <f>I52-I45</f>
        <v>0</v>
      </c>
      <c r="J53" s="475">
        <f>J52-J45</f>
        <v>0</v>
      </c>
      <c r="K53" s="241"/>
      <c r="L53" s="241"/>
      <c r="M53" s="241"/>
      <c r="O53" s="265"/>
      <c r="P53" s="265"/>
      <c r="Q53" s="242"/>
      <c r="R53" s="243"/>
      <c r="S53" s="244">
        <f>IF(I49=0,"",(J49/I49)/0.52)</f>
      </c>
      <c r="T53" s="245" t="e">
        <f t="shared" si="50"/>
        <v>#DIV/0!</v>
      </c>
      <c r="U53" s="85"/>
      <c r="V53" s="373">
        <f>B53*C53</f>
        <v>0</v>
      </c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P53" s="42" t="s">
        <v>147</v>
      </c>
      <c r="AR53" s="295">
        <f>AR49-AR54-AR55-AR56-AR52</f>
        <v>0</v>
      </c>
      <c r="AS53" s="295">
        <f>IF(E53=0,0,AR53/E53)</f>
        <v>0</v>
      </c>
      <c r="AT53" s="295">
        <f>AT49-AT54-AT55-AT56-AT52</f>
        <v>0</v>
      </c>
      <c r="AU53" s="295">
        <f>AU49-AU54-AU55-AU56-AU52</f>
        <v>0</v>
      </c>
      <c r="AV53" s="255"/>
      <c r="AW53" s="296"/>
      <c r="AX53" s="296"/>
      <c r="AY53" s="296"/>
      <c r="AZ53" s="295">
        <f>AZ49-AZ54-AZ55-AZ56-AZ52</f>
        <v>0</v>
      </c>
      <c r="BA53" s="255"/>
      <c r="BB53" s="297">
        <f>BB49-BB54-BB55-BB56</f>
        <v>0</v>
      </c>
      <c r="BC53" s="298"/>
      <c r="BD53" s="298"/>
      <c r="BE53" s="298"/>
      <c r="BF53" s="295">
        <f>BF49-BF54-BF55-BF56-BF52</f>
        <v>0</v>
      </c>
      <c r="BG53" s="299"/>
      <c r="BH53" s="300"/>
      <c r="BI53" s="300"/>
      <c r="BJ53" s="301"/>
      <c r="BK53" s="300"/>
      <c r="BL53" s="300"/>
      <c r="BM53" s="301"/>
      <c r="BN53" s="301"/>
      <c r="BO53" s="301"/>
      <c r="BP53" s="301"/>
      <c r="BQ53" s="300"/>
      <c r="BR53" s="300"/>
      <c r="BS53" s="300"/>
      <c r="BT53" s="300"/>
      <c r="BU53" s="300"/>
      <c r="BV53" s="119">
        <v>90</v>
      </c>
      <c r="BW53" s="119">
        <v>40</v>
      </c>
      <c r="BX53" s="119">
        <v>100</v>
      </c>
      <c r="BY53" s="186"/>
      <c r="BZ53" s="186"/>
      <c r="CA53" s="186"/>
      <c r="CB53" s="100">
        <f>V51*BV53</f>
        <v>0</v>
      </c>
      <c r="CC53" s="100">
        <f>V51*BW53</f>
        <v>0</v>
      </c>
      <c r="CD53" s="100">
        <f>V51*BX53</f>
        <v>0</v>
      </c>
      <c r="CE53" s="100">
        <f>IF($B51=0,0,CB53/$B51)</f>
        <v>0</v>
      </c>
      <c r="CF53" s="100">
        <f>IF($B51=0,0,CC53/$B51)</f>
        <v>0</v>
      </c>
      <c r="CG53" s="100">
        <f>IF($B51=0,0,CD53/$B51)</f>
        <v>0</v>
      </c>
      <c r="CO53" s="302">
        <v>-1.7</v>
      </c>
      <c r="CP53" s="302">
        <v>-3.11</v>
      </c>
      <c r="CQ53" s="302">
        <f>IF(CQ55&gt;13.3,IF(CQ55&gt;30,3.63,5*CQ55/33.3-3.7*0.95*7.5/CQ55),0)</f>
        <v>0</v>
      </c>
    </row>
    <row r="54" spans="1:95" s="264" customFormat="1" ht="18" customHeight="1">
      <c r="A54" s="125" t="s">
        <v>271</v>
      </c>
      <c r="B54" s="126"/>
      <c r="C54" s="365"/>
      <c r="D54" s="358">
        <v>3.26</v>
      </c>
      <c r="E54" s="294">
        <f>AR54</f>
        <v>0</v>
      </c>
      <c r="F54" s="380" t="s">
        <v>148</v>
      </c>
      <c r="G54" s="303"/>
      <c r="H54" s="504" t="s">
        <v>187</v>
      </c>
      <c r="I54" s="509">
        <v>0.5</v>
      </c>
      <c r="J54" s="510">
        <v>-0.07</v>
      </c>
      <c r="K54" s="263"/>
      <c r="L54" s="263"/>
      <c r="M54" s="263"/>
      <c r="O54" s="265"/>
      <c r="P54" s="265"/>
      <c r="Q54" s="242"/>
      <c r="R54" s="266"/>
      <c r="S54" s="244">
        <f>IF(I50=0,"",(J50/I50)/0.52)</f>
      </c>
      <c r="T54" s="245" t="e">
        <f t="shared" si="50"/>
        <v>#DIV/0!</v>
      </c>
      <c r="U54" s="85"/>
      <c r="V54" s="373">
        <f>B54*C54</f>
        <v>0</v>
      </c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P54" s="42" t="s">
        <v>150</v>
      </c>
      <c r="AR54" s="295">
        <f>SUM(AR16:AR18)</f>
        <v>0</v>
      </c>
      <c r="AS54" s="295"/>
      <c r="AT54" s="295">
        <f>SUM(AT16:AT18)</f>
        <v>0</v>
      </c>
      <c r="AU54" s="295">
        <f>SUM(AU16:AU18)</f>
        <v>0</v>
      </c>
      <c r="AV54" s="255"/>
      <c r="AW54" s="296"/>
      <c r="AX54" s="296"/>
      <c r="AY54" s="296"/>
      <c r="AZ54" s="295">
        <f>SUM(AZ16:AZ18)</f>
        <v>0</v>
      </c>
      <c r="BA54" s="255"/>
      <c r="BB54" s="297">
        <f>SUM(BB16:BB18)</f>
        <v>0</v>
      </c>
      <c r="BC54" s="298"/>
      <c r="BD54" s="298"/>
      <c r="BE54" s="298"/>
      <c r="BF54" s="295">
        <f>SUM(BF16:BF18)</f>
        <v>0</v>
      </c>
      <c r="BG54" s="299"/>
      <c r="BH54" s="300"/>
      <c r="BI54" s="300"/>
      <c r="BJ54" s="301"/>
      <c r="BK54" s="300"/>
      <c r="BL54" s="300"/>
      <c r="BM54" s="301"/>
      <c r="BN54" s="301"/>
      <c r="BO54" s="301"/>
      <c r="BP54" s="301"/>
      <c r="BQ54" s="300"/>
      <c r="BR54" s="300"/>
      <c r="BS54" s="300"/>
      <c r="BT54" s="300"/>
      <c r="BU54" s="300"/>
      <c r="BV54" s="119"/>
      <c r="BW54" s="119"/>
      <c r="BX54" s="119"/>
      <c r="BY54" s="186"/>
      <c r="BZ54" s="186"/>
      <c r="CA54" s="186"/>
      <c r="CB54" s="100"/>
      <c r="CC54" s="100"/>
      <c r="CD54" s="100"/>
      <c r="CE54" s="100"/>
      <c r="CF54" s="100"/>
      <c r="CG54" s="100"/>
      <c r="CO54" s="302"/>
      <c r="CP54" s="302"/>
      <c r="CQ54" s="302"/>
    </row>
    <row r="55" spans="1:95" s="264" customFormat="1" ht="18" customHeight="1">
      <c r="A55" s="235" t="s">
        <v>151</v>
      </c>
      <c r="B55" s="236">
        <f>SUM(B51:B54)+B60+B61+B62</f>
        <v>0</v>
      </c>
      <c r="C55" s="80">
        <f>IF(C54&gt;15,"v seně?","")</f>
      </c>
      <c r="D55" s="304"/>
      <c r="E55" s="294">
        <f>AR55</f>
        <v>0</v>
      </c>
      <c r="F55" s="380" t="s">
        <v>152</v>
      </c>
      <c r="G55" s="303"/>
      <c r="H55" s="549" t="s">
        <v>174</v>
      </c>
      <c r="I55" s="212" t="s">
        <v>122</v>
      </c>
      <c r="J55" s="212" t="s">
        <v>123</v>
      </c>
      <c r="K55" s="212" t="s">
        <v>124</v>
      </c>
      <c r="L55" s="560" t="s">
        <v>115</v>
      </c>
      <c r="M55" s="561"/>
      <c r="N55" s="562"/>
      <c r="O55" s="265"/>
      <c r="P55" s="265"/>
      <c r="Q55" s="242">
        <f>B49*J51</f>
        <v>0</v>
      </c>
      <c r="R55" s="266" t="e">
        <f>#REF!/0.52</f>
        <v>#REF!</v>
      </c>
      <c r="S55" s="244">
        <f>IF(I51=0,"",(J51/I51)/0.52)</f>
      </c>
      <c r="T55" s="245" t="e">
        <f t="shared" si="50"/>
        <v>#DIV/0!</v>
      </c>
      <c r="U55" s="85"/>
      <c r="V55" s="368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P55" s="42" t="s">
        <v>153</v>
      </c>
      <c r="AR55" s="295">
        <f>(SUM(AR25:AR31))+AR33</f>
        <v>0</v>
      </c>
      <c r="AT55" s="295">
        <f>(SUM(AT25:AT31))+AT33</f>
        <v>0</v>
      </c>
      <c r="AU55" s="295">
        <f>(SUM(AU25:AU31))+AU33</f>
        <v>0</v>
      </c>
      <c r="AZ55" s="295">
        <f>(SUM(AZ25:AZ31))+AZ33</f>
        <v>0</v>
      </c>
      <c r="BA55" s="255"/>
      <c r="BB55" s="297">
        <f>(SUM(BB25:BB31))+BB33</f>
        <v>0</v>
      </c>
      <c r="BC55" s="298"/>
      <c r="BD55" s="298"/>
      <c r="BE55" s="298"/>
      <c r="BF55" s="295">
        <f>(SUM(BF25:BF31))+BF33</f>
        <v>0</v>
      </c>
      <c r="BG55" s="299"/>
      <c r="BH55" s="300"/>
      <c r="BI55" s="300"/>
      <c r="BJ55" s="301"/>
      <c r="BK55" s="300"/>
      <c r="BL55" s="300"/>
      <c r="BM55" s="301"/>
      <c r="BN55" s="301"/>
      <c r="BO55" s="301"/>
      <c r="BP55" s="301"/>
      <c r="BQ55" s="300"/>
      <c r="BR55" s="300"/>
      <c r="BS55" s="300"/>
      <c r="BT55" s="300"/>
      <c r="BU55" s="300"/>
      <c r="BV55" s="185">
        <v>4</v>
      </c>
      <c r="BW55" s="185">
        <f>0.42*2.292</f>
        <v>0.9626399999999999</v>
      </c>
      <c r="BX55" s="185">
        <f>3.7*1.204</f>
        <v>4.4548</v>
      </c>
      <c r="BY55" s="186"/>
      <c r="BZ55" s="186"/>
      <c r="CA55" s="186"/>
      <c r="CB55" s="100">
        <f>V52*BV55</f>
        <v>0</v>
      </c>
      <c r="CC55" s="100">
        <f>V52*BW55</f>
        <v>0</v>
      </c>
      <c r="CD55" s="100">
        <f>V52*BX55</f>
        <v>0</v>
      </c>
      <c r="CE55" s="100">
        <f>IF($B52=0,0,CB55/$B52)</f>
        <v>0</v>
      </c>
      <c r="CF55" s="100">
        <f>IF($B52=0,0,CC55/$B52)</f>
        <v>0</v>
      </c>
      <c r="CG55" s="100">
        <f>IF($B52=0,0,CD55/$B52)</f>
        <v>0</v>
      </c>
      <c r="CO55" s="302">
        <f>CP18*100</f>
        <v>0</v>
      </c>
      <c r="CP55" s="302">
        <f>CP38*100</f>
        <v>0</v>
      </c>
      <c r="CQ55" s="302">
        <f>CP48*100</f>
        <v>0</v>
      </c>
    </row>
    <row r="56" spans="1:95" s="264" customFormat="1" ht="18" customHeight="1">
      <c r="A56" s="305" t="s">
        <v>154</v>
      </c>
      <c r="B56" s="306">
        <f>B49+B55</f>
        <v>0</v>
      </c>
      <c r="C56" s="307"/>
      <c r="D56" s="304"/>
      <c r="E56" s="308">
        <f>E53+E54+E55</f>
        <v>0</v>
      </c>
      <c r="F56" s="381" t="s">
        <v>115</v>
      </c>
      <c r="G56" s="280"/>
      <c r="H56" s="550"/>
      <c r="I56" s="385">
        <f>CO55/100</f>
        <v>0</v>
      </c>
      <c r="J56" s="385">
        <f>CP55/100</f>
        <v>0</v>
      </c>
      <c r="K56" s="386">
        <f>CQ55/100</f>
        <v>0</v>
      </c>
      <c r="L56" s="563">
        <f>I56+J56+K56</f>
        <v>0</v>
      </c>
      <c r="M56" s="564"/>
      <c r="N56" s="565"/>
      <c r="O56" s="227"/>
      <c r="P56" s="227"/>
      <c r="Q56" s="242">
        <f>B49*J52</f>
        <v>0</v>
      </c>
      <c r="R56" s="228" t="e">
        <f>#REF!/0.52</f>
        <v>#REF!</v>
      </c>
      <c r="S56" s="244">
        <f>IF(I52=0,"",(J52/I52)/0.52)</f>
      </c>
      <c r="T56" s="245" t="e">
        <f t="shared" si="50"/>
        <v>#DIV/0!</v>
      </c>
      <c r="U56" s="16"/>
      <c r="V56" s="369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P56" s="42" t="s">
        <v>155</v>
      </c>
      <c r="AR56" s="295">
        <f>SUM(AR19:AR24)</f>
        <v>0</v>
      </c>
      <c r="AS56" s="295">
        <f>IF(E54=0,0,AR56/E54)</f>
        <v>0</v>
      </c>
      <c r="AT56" s="295">
        <f>SUM(AT19:AT24)</f>
        <v>0</v>
      </c>
      <c r="AU56" s="295">
        <f>SUM(AU19:AU24)</f>
        <v>0</v>
      </c>
      <c r="AV56" s="255"/>
      <c r="AW56" s="296"/>
      <c r="AX56" s="296"/>
      <c r="AY56" s="296"/>
      <c r="AZ56" s="295">
        <f>SUM(AZ19:AZ24)</f>
        <v>0</v>
      </c>
      <c r="BA56" s="255"/>
      <c r="BB56" s="297">
        <f>SUM(BB19:BB24)</f>
        <v>0</v>
      </c>
      <c r="BC56" s="298"/>
      <c r="BD56" s="298"/>
      <c r="BE56" s="298"/>
      <c r="BF56" s="295">
        <f>SUM(BF19:BF24)</f>
        <v>0</v>
      </c>
      <c r="BG56" s="299"/>
      <c r="BH56" s="300"/>
      <c r="BI56" s="300"/>
      <c r="BJ56" s="301"/>
      <c r="BK56" s="300"/>
      <c r="BL56" s="300"/>
      <c r="BM56" s="301"/>
      <c r="BN56" s="301"/>
      <c r="BO56" s="301"/>
      <c r="BP56" s="301"/>
      <c r="BQ56" s="300"/>
      <c r="BR56" s="300"/>
      <c r="BS56" s="300"/>
      <c r="BT56" s="300"/>
      <c r="BU56" s="300"/>
      <c r="BV56" s="185"/>
      <c r="BW56" s="185"/>
      <c r="BX56" s="185"/>
      <c r="BY56" s="186"/>
      <c r="BZ56" s="186"/>
      <c r="CA56" s="186"/>
      <c r="CB56" s="100"/>
      <c r="CC56" s="100"/>
      <c r="CD56" s="100"/>
      <c r="CE56" s="100"/>
      <c r="CF56" s="100"/>
      <c r="CG56" s="100"/>
      <c r="CO56" s="302"/>
      <c r="CP56" s="302">
        <f>(CO53*CO55+CP53*CP55+CQ53*CQ55)/(100*-1)</f>
        <v>0</v>
      </c>
      <c r="CQ56" s="302"/>
    </row>
    <row r="57" spans="1:102" ht="24.75" customHeight="1">
      <c r="A57" s="572" t="s">
        <v>273</v>
      </c>
      <c r="B57" s="572"/>
      <c r="C57" s="572"/>
      <c r="D57" s="572"/>
      <c r="E57" s="572"/>
      <c r="F57" s="572"/>
      <c r="G57" s="521"/>
      <c r="H57" s="521"/>
      <c r="I57" s="521"/>
      <c r="J57" s="521"/>
      <c r="K57" s="521"/>
      <c r="L57" s="521"/>
      <c r="M57" s="521"/>
      <c r="N57" s="521"/>
      <c r="O57" s="227"/>
      <c r="P57" s="227"/>
      <c r="Q57" s="311">
        <f>B49*J53</f>
        <v>0</v>
      </c>
      <c r="R57" s="228" t="e">
        <f>#REF!/0.52</f>
        <v>#REF!</v>
      </c>
      <c r="S57" s="229"/>
      <c r="T57" s="245" t="e">
        <f t="shared" si="50"/>
        <v>#DIV/0!</v>
      </c>
      <c r="U57" s="264"/>
      <c r="V57" s="310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P57" s="42" t="s">
        <v>156</v>
      </c>
      <c r="AQ57" s="264"/>
      <c r="AR57" s="255"/>
      <c r="AS57" s="295"/>
      <c r="AT57" s="255">
        <f>AT50</f>
        <v>0</v>
      </c>
      <c r="AU57" s="255">
        <f>AU50</f>
        <v>0</v>
      </c>
      <c r="AV57" s="255"/>
      <c r="AW57" s="296"/>
      <c r="AX57" s="296"/>
      <c r="AY57" s="296"/>
      <c r="AZ57" s="255">
        <f>AZ50</f>
        <v>0</v>
      </c>
      <c r="BA57" s="255"/>
      <c r="BB57" s="297">
        <f>BB50</f>
        <v>0</v>
      </c>
      <c r="BC57" s="298"/>
      <c r="BD57" s="298"/>
      <c r="BE57" s="298"/>
      <c r="BF57" s="298">
        <f>AZ57</f>
        <v>0</v>
      </c>
      <c r="BG57" s="299"/>
      <c r="BH57" s="300"/>
      <c r="BI57" s="300"/>
      <c r="BJ57" s="301"/>
      <c r="BK57" s="300"/>
      <c r="BL57" s="300"/>
      <c r="BM57" s="301"/>
      <c r="BN57" s="301"/>
      <c r="BO57" s="301"/>
      <c r="BP57" s="301"/>
      <c r="BQ57" s="300"/>
      <c r="BR57" s="300"/>
      <c r="BS57" s="300"/>
      <c r="BT57" s="300"/>
      <c r="BU57" s="300"/>
      <c r="BV57" s="184">
        <v>2.6</v>
      </c>
      <c r="BW57" s="185">
        <f>0.42*2.292</f>
        <v>0.9626399999999999</v>
      </c>
      <c r="BX57" s="185">
        <f>3.7*1.204</f>
        <v>4.4548</v>
      </c>
      <c r="BY57" s="186"/>
      <c r="BZ57" s="186"/>
      <c r="CA57" s="186"/>
      <c r="CB57" s="100">
        <f>V53*BV57</f>
        <v>0</v>
      </c>
      <c r="CC57" s="100">
        <f>V53*BW57</f>
        <v>0</v>
      </c>
      <c r="CD57" s="100">
        <f>V53*BX57</f>
        <v>0</v>
      </c>
      <c r="CE57" s="100">
        <f aca="true" t="shared" si="51" ref="CE57:CG58">IF($B53=0,0,CB57/$B53)</f>
        <v>0</v>
      </c>
      <c r="CF57" s="100">
        <f t="shared" si="51"/>
        <v>0</v>
      </c>
      <c r="CG57" s="100">
        <f t="shared" si="51"/>
        <v>0</v>
      </c>
      <c r="CH57" s="264"/>
      <c r="CI57" s="264"/>
      <c r="CJ57" s="264"/>
      <c r="CK57" s="264"/>
      <c r="CL57" s="264"/>
      <c r="CM57" s="264"/>
      <c r="CN57" s="264"/>
      <c r="CO57" s="302"/>
      <c r="CP57" s="361">
        <v>0.4833333333333335</v>
      </c>
      <c r="CQ57" s="302"/>
      <c r="CR57" s="264"/>
      <c r="CS57" s="264"/>
      <c r="CT57" s="264"/>
      <c r="CU57" s="264"/>
      <c r="CV57" s="264"/>
      <c r="CW57" s="264"/>
      <c r="CX57" s="264"/>
    </row>
    <row r="58" spans="1:102" ht="24.75" customHeight="1">
      <c r="A58" s="572"/>
      <c r="B58" s="572"/>
      <c r="C58" s="572"/>
      <c r="D58" s="572"/>
      <c r="E58" s="572"/>
      <c r="F58" s="572"/>
      <c r="G58" s="521"/>
      <c r="H58" s="521"/>
      <c r="I58" s="521"/>
      <c r="J58" s="521"/>
      <c r="K58" s="521"/>
      <c r="L58" s="521"/>
      <c r="M58" s="521"/>
      <c r="N58" s="521"/>
      <c r="O58" s="313"/>
      <c r="P58" s="313"/>
      <c r="Q58" s="264"/>
      <c r="R58" s="264"/>
      <c r="S58" s="264"/>
      <c r="T58" s="264"/>
      <c r="U58" s="264"/>
      <c r="V58" s="31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P58" s="14"/>
      <c r="AQ58" s="264"/>
      <c r="AR58" s="277"/>
      <c r="AS58" s="314"/>
      <c r="AT58" s="167"/>
      <c r="AU58" s="167"/>
      <c r="AV58" s="167"/>
      <c r="AW58" s="277"/>
      <c r="AX58" s="277"/>
      <c r="AY58" s="277"/>
      <c r="AZ58" s="167">
        <f>AZ53+AZ54+AZ55+AZ56+AZ57</f>
        <v>0</v>
      </c>
      <c r="BA58" s="167"/>
      <c r="BB58" s="168">
        <f>BB53+BB54+BB55+BB56+BB57</f>
        <v>0</v>
      </c>
      <c r="BC58" s="315"/>
      <c r="BD58" s="315"/>
      <c r="BE58" s="315"/>
      <c r="BF58" s="167">
        <f>BF53+BF54+BF55+BF56+BF57</f>
        <v>0</v>
      </c>
      <c r="BG58" s="316"/>
      <c r="BH58" s="317"/>
      <c r="BI58" s="317"/>
      <c r="BJ58" s="318"/>
      <c r="BK58" s="317"/>
      <c r="BL58" s="317"/>
      <c r="BM58" s="318"/>
      <c r="BN58" s="318"/>
      <c r="BO58" s="318"/>
      <c r="BP58" s="318"/>
      <c r="BQ58" s="317"/>
      <c r="BR58" s="317"/>
      <c r="BS58" s="317"/>
      <c r="BT58" s="317"/>
      <c r="BU58" s="317"/>
      <c r="BV58" s="184">
        <v>15.8</v>
      </c>
      <c r="BW58" s="184">
        <v>4.9</v>
      </c>
      <c r="BX58" s="184">
        <v>19.5</v>
      </c>
      <c r="BY58" s="186"/>
      <c r="BZ58" s="186"/>
      <c r="CA58" s="186"/>
      <c r="CB58" s="100">
        <f>V54*BV58</f>
        <v>0</v>
      </c>
      <c r="CC58" s="100">
        <f>V54*BW58</f>
        <v>0</v>
      </c>
      <c r="CD58" s="100">
        <f>V54*BX58</f>
        <v>0</v>
      </c>
      <c r="CE58" s="100">
        <f t="shared" si="51"/>
        <v>0</v>
      </c>
      <c r="CF58" s="100">
        <f t="shared" si="51"/>
        <v>0</v>
      </c>
      <c r="CG58" s="100">
        <f t="shared" si="51"/>
        <v>0</v>
      </c>
      <c r="CH58" s="264"/>
      <c r="CI58" s="264"/>
      <c r="CJ58" s="264"/>
      <c r="CK58" s="264"/>
      <c r="CL58" s="264"/>
      <c r="CM58" s="319" t="s">
        <v>157</v>
      </c>
      <c r="CN58" s="320" t="s">
        <v>158</v>
      </c>
      <c r="CO58" s="321">
        <f>CO50*-1</f>
        <v>0</v>
      </c>
      <c r="CP58" s="322"/>
      <c r="CQ58" s="168"/>
      <c r="CR58" s="264"/>
      <c r="CS58" s="264"/>
      <c r="CT58" s="264"/>
      <c r="CU58" s="264"/>
      <c r="CV58" s="264"/>
      <c r="CW58" s="264"/>
      <c r="CX58" s="264"/>
    </row>
    <row r="59" spans="1:102" ht="24.75" customHeight="1">
      <c r="A59" s="572"/>
      <c r="B59" s="572"/>
      <c r="C59" s="572"/>
      <c r="D59" s="572"/>
      <c r="E59" s="572"/>
      <c r="F59" s="572"/>
      <c r="G59" s="521"/>
      <c r="H59" s="521"/>
      <c r="I59" s="521"/>
      <c r="J59" s="521"/>
      <c r="K59" s="521"/>
      <c r="L59" s="521"/>
      <c r="M59" s="521"/>
      <c r="N59" s="521"/>
      <c r="O59" s="313"/>
      <c r="P59" s="313"/>
      <c r="Q59" s="264"/>
      <c r="R59" s="264"/>
      <c r="S59" s="264"/>
      <c r="T59" s="264"/>
      <c r="U59" s="264"/>
      <c r="V59" s="31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P59" s="14"/>
      <c r="AQ59" s="264"/>
      <c r="AR59" s="277"/>
      <c r="AS59" s="314"/>
      <c r="AT59" s="167"/>
      <c r="AU59" s="167"/>
      <c r="AV59" s="167"/>
      <c r="AW59" s="277"/>
      <c r="AX59" s="277"/>
      <c r="AY59" s="277"/>
      <c r="AZ59" s="167"/>
      <c r="BA59" s="167"/>
      <c r="BB59" s="168"/>
      <c r="BC59" s="315"/>
      <c r="BD59" s="315"/>
      <c r="BE59" s="315"/>
      <c r="BF59" s="167"/>
      <c r="BG59" s="316"/>
      <c r="BH59" s="317"/>
      <c r="BI59" s="317"/>
      <c r="BJ59" s="318"/>
      <c r="BK59" s="317"/>
      <c r="BL59" s="317"/>
      <c r="BM59" s="318"/>
      <c r="BN59" s="318"/>
      <c r="BO59" s="318"/>
      <c r="BP59" s="318"/>
      <c r="BQ59" s="317"/>
      <c r="BR59" s="317"/>
      <c r="BS59" s="317"/>
      <c r="BT59" s="317"/>
      <c r="BU59" s="317"/>
      <c r="BV59" s="323"/>
      <c r="BW59" s="323"/>
      <c r="BX59" s="323"/>
      <c r="BY59" s="324"/>
      <c r="BZ59" s="324"/>
      <c r="CA59" s="324"/>
      <c r="CB59" s="100"/>
      <c r="CC59" s="100"/>
      <c r="CD59" s="100"/>
      <c r="CE59" s="100"/>
      <c r="CF59" s="100"/>
      <c r="CG59" s="100"/>
      <c r="CH59" s="264"/>
      <c r="CI59" s="264"/>
      <c r="CJ59" s="264"/>
      <c r="CK59" s="264"/>
      <c r="CL59" s="264"/>
      <c r="CM59" s="319"/>
      <c r="CN59" s="320"/>
      <c r="CO59" s="321"/>
      <c r="CP59" s="322"/>
      <c r="CQ59" s="168"/>
      <c r="CR59" s="264"/>
      <c r="CS59" s="264"/>
      <c r="CT59" s="264"/>
      <c r="CU59" s="264"/>
      <c r="CV59" s="264"/>
      <c r="CW59" s="264"/>
      <c r="CX59" s="264"/>
    </row>
    <row r="60" spans="1:102" ht="14.25" customHeight="1" hidden="1">
      <c r="A60" s="325" t="s">
        <v>159</v>
      </c>
      <c r="B60" s="279"/>
      <c r="E60" s="41"/>
      <c r="F60" s="41"/>
      <c r="I60" s="312"/>
      <c r="J60" s="312"/>
      <c r="K60" s="312"/>
      <c r="L60" s="312"/>
      <c r="M60" s="312"/>
      <c r="N60" s="312"/>
      <c r="O60" s="312"/>
      <c r="P60" s="312"/>
      <c r="Q60" s="264"/>
      <c r="R60" s="264"/>
      <c r="S60" s="264"/>
      <c r="T60" s="264"/>
      <c r="U60" s="264"/>
      <c r="V60" s="37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P60" s="14"/>
      <c r="AQ60" s="264"/>
      <c r="AR60" s="277"/>
      <c r="AS60" s="314"/>
      <c r="AT60" s="167"/>
      <c r="AU60" s="326"/>
      <c r="AV60" s="167"/>
      <c r="AW60" s="327" t="str">
        <f>AP53</f>
        <v>sláma obilnin</v>
      </c>
      <c r="AX60" s="327"/>
      <c r="AY60" s="327"/>
      <c r="AZ60" s="169">
        <f aca="true" t="shared" si="52" ref="AZ60:AZ65">IF($B$49=0,0,AZ53/$B$49)</f>
        <v>0</v>
      </c>
      <c r="BA60" s="169"/>
      <c r="BB60" s="328">
        <f aca="true" t="shared" si="53" ref="BB60:BB65">IF($B$49=0,0,BB53/$B$49)</f>
        <v>0</v>
      </c>
      <c r="BC60" s="329"/>
      <c r="BD60" s="329"/>
      <c r="BE60" s="329"/>
      <c r="BF60" s="169">
        <f aca="true" t="shared" si="54" ref="BF60:BF65">IF($B$49=0,0,BF53/$B$49)</f>
        <v>0</v>
      </c>
      <c r="BG60" s="330" t="e">
        <f>(BB60/AZ60)/0.52</f>
        <v>#DIV/0!</v>
      </c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2"/>
      <c r="BV60" s="264"/>
      <c r="BW60" s="333"/>
      <c r="BX60" s="333"/>
      <c r="BY60" s="324"/>
      <c r="BZ60" s="324"/>
      <c r="CA60" s="324"/>
      <c r="CB60" s="255">
        <f>SUM(CB53:CB58)</f>
        <v>0</v>
      </c>
      <c r="CC60" s="255">
        <f>SUM(CC53:CC58)</f>
        <v>0</v>
      </c>
      <c r="CD60" s="255">
        <f>SUM(CD53:CD58)</f>
        <v>0</v>
      </c>
      <c r="CE60" s="334">
        <f>IF($B55=0,0,CB60/$B55)</f>
        <v>0</v>
      </c>
      <c r="CF60" s="334">
        <f>IF($B55=0,0,CC60/$B55)</f>
        <v>0</v>
      </c>
      <c r="CG60" s="334">
        <f>IF($B55=0,0,CD60/$B55)</f>
        <v>0</v>
      </c>
      <c r="CH60" s="264"/>
      <c r="CI60" s="264"/>
      <c r="CJ60" s="264"/>
      <c r="CK60" s="264"/>
      <c r="CL60" s="264"/>
      <c r="CM60" s="319"/>
      <c r="CN60" s="319" t="s">
        <v>160</v>
      </c>
      <c r="CO60" s="319"/>
      <c r="CP60" s="335"/>
      <c r="CQ60" s="336"/>
      <c r="CR60" s="264"/>
      <c r="CS60" s="264"/>
      <c r="CT60" s="264"/>
      <c r="CU60" s="264"/>
      <c r="CV60" s="264"/>
      <c r="CW60" s="264"/>
      <c r="CX60" s="264"/>
    </row>
    <row r="61" spans="1:95" ht="14.25" customHeight="1" hidden="1">
      <c r="A61" s="337" t="s">
        <v>161</v>
      </c>
      <c r="B61" s="126"/>
      <c r="E61" s="41"/>
      <c r="F61" s="41"/>
      <c r="G61" s="280"/>
      <c r="I61" s="312"/>
      <c r="J61" s="312"/>
      <c r="K61" s="312"/>
      <c r="L61" s="312"/>
      <c r="M61" s="312"/>
      <c r="N61" s="312"/>
      <c r="O61" s="312"/>
      <c r="P61" s="312"/>
      <c r="V61" s="371"/>
      <c r="AP61" s="338"/>
      <c r="AR61" s="1"/>
      <c r="AS61" s="1"/>
      <c r="AT61" s="1"/>
      <c r="AU61" s="1"/>
      <c r="AV61" s="339"/>
      <c r="AW61" s="327" t="str">
        <f>AP54</f>
        <v>sláma luskovin</v>
      </c>
      <c r="AX61" s="340"/>
      <c r="AY61" s="340"/>
      <c r="AZ61" s="169">
        <f t="shared" si="52"/>
        <v>0</v>
      </c>
      <c r="BA61" s="169"/>
      <c r="BB61" s="328">
        <f t="shared" si="53"/>
        <v>0</v>
      </c>
      <c r="BC61" s="329"/>
      <c r="BD61" s="329"/>
      <c r="BE61" s="329"/>
      <c r="BF61" s="169">
        <f t="shared" si="54"/>
        <v>0</v>
      </c>
      <c r="BG61" s="330" t="e">
        <f>(BB63/AZ63)/0.52</f>
        <v>#DIV/0!</v>
      </c>
      <c r="BH61" s="331"/>
      <c r="BI61" s="331"/>
      <c r="BJ61" s="331"/>
      <c r="BK61" s="331"/>
      <c r="BL61" s="331"/>
      <c r="BM61" s="331"/>
      <c r="BN61" s="331"/>
      <c r="BO61" s="331"/>
      <c r="BP61" s="331"/>
      <c r="BQ61" s="331"/>
      <c r="BR61" s="331"/>
      <c r="BS61" s="331"/>
      <c r="BT61" s="331"/>
      <c r="BU61" s="332"/>
      <c r="CA61" t="s">
        <v>162</v>
      </c>
      <c r="CB61" s="341">
        <f>CB49+CB60</f>
        <v>0</v>
      </c>
      <c r="CC61" s="341">
        <f>CC49+CC60</f>
        <v>0</v>
      </c>
      <c r="CD61" s="341">
        <f>CD49+CD60</f>
        <v>0</v>
      </c>
      <c r="CE61" s="334">
        <f aca="true" t="shared" si="55" ref="CE61:CG63">IF($B$56=0,0,CB61/$B$56)</f>
        <v>0</v>
      </c>
      <c r="CF61" s="334">
        <f t="shared" si="55"/>
        <v>0</v>
      </c>
      <c r="CG61" s="334">
        <f t="shared" si="55"/>
        <v>0</v>
      </c>
      <c r="CM61" s="342"/>
      <c r="CN61" s="319" t="s">
        <v>163</v>
      </c>
      <c r="CO61" s="319"/>
      <c r="CP61" s="335"/>
      <c r="CQ61" s="336"/>
    </row>
    <row r="62" spans="1:95" ht="14.25" customHeight="1" hidden="1">
      <c r="A62" s="337" t="s">
        <v>164</v>
      </c>
      <c r="B62" s="126"/>
      <c r="E62" s="41"/>
      <c r="F62" s="41"/>
      <c r="G62" s="41"/>
      <c r="Q62" s="226"/>
      <c r="R62" s="569"/>
      <c r="S62" s="569"/>
      <c r="T62" s="343"/>
      <c r="U62" s="343"/>
      <c r="V62" s="371"/>
      <c r="AP62" s="338"/>
      <c r="AR62" s="1"/>
      <c r="AS62" s="1"/>
      <c r="AT62" s="1"/>
      <c r="AU62" s="1"/>
      <c r="AV62" s="339"/>
      <c r="AW62" s="327" t="str">
        <f>AP55</f>
        <v>sláma olejnin</v>
      </c>
      <c r="AX62" s="340"/>
      <c r="AY62" s="340"/>
      <c r="AZ62" s="169">
        <f t="shared" si="52"/>
        <v>0</v>
      </c>
      <c r="BA62" s="169"/>
      <c r="BB62" s="328">
        <f t="shared" si="53"/>
        <v>0</v>
      </c>
      <c r="BC62" s="329"/>
      <c r="BD62" s="329"/>
      <c r="BE62" s="329"/>
      <c r="BF62" s="169">
        <f t="shared" si="54"/>
        <v>0</v>
      </c>
      <c r="BG62" s="330" t="e">
        <f>(BB64/AZ64)/0.52</f>
        <v>#DIV/0!</v>
      </c>
      <c r="BH62" s="331"/>
      <c r="BI62" s="331"/>
      <c r="BJ62" s="331"/>
      <c r="BK62" s="331"/>
      <c r="BL62" s="331"/>
      <c r="BM62" s="331"/>
      <c r="BN62" s="331"/>
      <c r="BO62" s="331"/>
      <c r="BP62" s="331"/>
      <c r="BQ62" s="331"/>
      <c r="BR62" s="331"/>
      <c r="BS62" s="331"/>
      <c r="BT62" s="331"/>
      <c r="BU62" s="332"/>
      <c r="CA62" t="s">
        <v>165</v>
      </c>
      <c r="CB62" s="341">
        <f>AK33+CL49</f>
        <v>0</v>
      </c>
      <c r="CC62" s="341">
        <f>AL33</f>
        <v>0</v>
      </c>
      <c r="CD62" s="341">
        <f>AM33</f>
        <v>0</v>
      </c>
      <c r="CE62" s="255">
        <f t="shared" si="55"/>
        <v>0</v>
      </c>
      <c r="CF62" s="255">
        <f t="shared" si="55"/>
        <v>0</v>
      </c>
      <c r="CG62" s="255">
        <f t="shared" si="55"/>
        <v>0</v>
      </c>
      <c r="CM62" s="342"/>
      <c r="CN62" s="319" t="s">
        <v>166</v>
      </c>
      <c r="CO62" s="319"/>
      <c r="CP62" s="335"/>
      <c r="CQ62" s="336"/>
    </row>
    <row r="63" spans="1:95" ht="14.25">
      <c r="A63" s="344" t="s">
        <v>320</v>
      </c>
      <c r="B63" s="345"/>
      <c r="E63" s="41"/>
      <c r="F63" s="41"/>
      <c r="G63" s="41"/>
      <c r="Q63" s="226"/>
      <c r="R63" s="548"/>
      <c r="S63" s="548"/>
      <c r="T63" s="346"/>
      <c r="U63" s="346"/>
      <c r="V63" s="345"/>
      <c r="AP63" s="338"/>
      <c r="AR63" s="1"/>
      <c r="AS63" s="1"/>
      <c r="AT63" s="1"/>
      <c r="AU63" s="1"/>
      <c r="AV63" s="339"/>
      <c r="AW63" s="347" t="s">
        <v>167</v>
      </c>
      <c r="AX63" s="347"/>
      <c r="AY63" s="347"/>
      <c r="AZ63" s="169">
        <f t="shared" si="52"/>
        <v>0</v>
      </c>
      <c r="BA63" s="169"/>
      <c r="BB63" s="328">
        <f t="shared" si="53"/>
        <v>0</v>
      </c>
      <c r="BC63" s="329"/>
      <c r="BD63" s="329"/>
      <c r="BE63" s="329"/>
      <c r="BF63" s="169">
        <f t="shared" si="54"/>
        <v>0</v>
      </c>
      <c r="BG63" s="330" t="e">
        <f>(BB65/AZ65)/0.52</f>
        <v>#DIV/0!</v>
      </c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2"/>
      <c r="CA63" t="s">
        <v>168</v>
      </c>
      <c r="CB63" s="341">
        <f>CB62-CB61</f>
        <v>0</v>
      </c>
      <c r="CC63" s="341">
        <f>CC62-CC61</f>
        <v>0</v>
      </c>
      <c r="CD63" s="341">
        <f>CD62-CD61</f>
        <v>0</v>
      </c>
      <c r="CE63" s="255">
        <f t="shared" si="55"/>
        <v>0</v>
      </c>
      <c r="CF63" s="255">
        <f t="shared" si="55"/>
        <v>0</v>
      </c>
      <c r="CG63" s="255">
        <f t="shared" si="55"/>
        <v>0</v>
      </c>
      <c r="CM63" s="342"/>
      <c r="CN63" s="319" t="s">
        <v>169</v>
      </c>
      <c r="CO63" s="319"/>
      <c r="CP63" s="348"/>
      <c r="CQ63" s="319"/>
    </row>
    <row r="64" spans="1:73" ht="14.25">
      <c r="A64" s="349"/>
      <c r="B64" s="345"/>
      <c r="C64" s="350"/>
      <c r="D64" s="351"/>
      <c r="E64" s="41"/>
      <c r="F64" s="41"/>
      <c r="G64" s="41"/>
      <c r="Q64" s="231"/>
      <c r="R64" s="548"/>
      <c r="S64" s="548"/>
      <c r="T64" s="346"/>
      <c r="U64" s="346"/>
      <c r="V64" s="345"/>
      <c r="AW64" s="347" t="s">
        <v>156</v>
      </c>
      <c r="AX64" s="347"/>
      <c r="AY64" s="347"/>
      <c r="AZ64" s="169">
        <f t="shared" si="52"/>
        <v>0</v>
      </c>
      <c r="BA64" s="169"/>
      <c r="BB64" s="328">
        <f t="shared" si="53"/>
        <v>0</v>
      </c>
      <c r="BC64" s="329"/>
      <c r="BD64" s="329"/>
      <c r="BE64" s="329"/>
      <c r="BF64" s="169">
        <f t="shared" si="54"/>
        <v>0</v>
      </c>
      <c r="BH64" s="352"/>
      <c r="BI64" s="352"/>
      <c r="BJ64" s="353"/>
      <c r="BK64" s="352"/>
      <c r="BL64" s="352"/>
      <c r="BM64" s="353"/>
      <c r="BN64" s="353"/>
      <c r="BO64" s="353"/>
      <c r="BP64" s="353"/>
      <c r="BQ64" s="352"/>
      <c r="BR64" s="352"/>
      <c r="BS64" s="352"/>
      <c r="BT64" s="352"/>
      <c r="BU64" s="352"/>
    </row>
    <row r="65" spans="1:73" ht="14.25">
      <c r="A65" s="354"/>
      <c r="B65" s="345"/>
      <c r="C65" s="350"/>
      <c r="D65" s="351"/>
      <c r="E65" s="41"/>
      <c r="F65" s="41"/>
      <c r="G65" s="41"/>
      <c r="U65" s="346"/>
      <c r="V65" s="345"/>
      <c r="AW65" s="347" t="s">
        <v>115</v>
      </c>
      <c r="AX65" s="347"/>
      <c r="AY65" s="347"/>
      <c r="AZ65" s="169">
        <f t="shared" si="52"/>
        <v>0</v>
      </c>
      <c r="BA65" s="169"/>
      <c r="BB65" s="328">
        <f t="shared" si="53"/>
        <v>0</v>
      </c>
      <c r="BC65" s="329"/>
      <c r="BD65" s="329"/>
      <c r="BE65" s="329"/>
      <c r="BF65" s="169">
        <f t="shared" si="54"/>
        <v>0</v>
      </c>
      <c r="BH65" s="352"/>
      <c r="BI65" s="352"/>
      <c r="BJ65" s="353"/>
      <c r="BK65" s="352"/>
      <c r="BL65" s="352"/>
      <c r="BM65" s="353"/>
      <c r="BN65" s="353"/>
      <c r="BO65" s="353"/>
      <c r="BP65" s="353"/>
      <c r="BQ65" s="352"/>
      <c r="BR65" s="352"/>
      <c r="BS65" s="352"/>
      <c r="BT65" s="352"/>
      <c r="BU65" s="352"/>
    </row>
    <row r="66" spans="1:22" ht="14.25">
      <c r="A66" s="354"/>
      <c r="B66" s="345"/>
      <c r="C66" s="350"/>
      <c r="D66" s="351"/>
      <c r="E66" s="41"/>
      <c r="F66" s="41"/>
      <c r="G66" s="41"/>
      <c r="U66" s="346"/>
      <c r="V66" s="345"/>
    </row>
    <row r="67" spans="1:73" ht="14.25">
      <c r="A67" s="41"/>
      <c r="B67" s="41"/>
      <c r="E67" s="41"/>
      <c r="F67" s="41"/>
      <c r="G67" s="41"/>
      <c r="U67" s="346"/>
      <c r="V67" s="41"/>
      <c r="BH67" s="352"/>
      <c r="BI67" s="352"/>
      <c r="BJ67" s="353"/>
      <c r="BK67" s="352"/>
      <c r="BL67" s="352"/>
      <c r="BM67" s="353"/>
      <c r="BN67" s="353"/>
      <c r="BO67" s="353"/>
      <c r="BP67" s="353"/>
      <c r="BQ67" s="352"/>
      <c r="BR67" s="352"/>
      <c r="BS67" s="352"/>
      <c r="BT67" s="352"/>
      <c r="BU67" s="352"/>
    </row>
    <row r="68" spans="1:22" ht="14.25">
      <c r="A68" s="41"/>
      <c r="B68" s="41"/>
      <c r="E68" s="41"/>
      <c r="F68" s="41"/>
      <c r="G68" s="41"/>
      <c r="U68" s="346"/>
      <c r="V68" s="41"/>
    </row>
    <row r="69" spans="1:22" ht="14.25">
      <c r="A69" s="41"/>
      <c r="B69" s="41"/>
      <c r="E69" s="41"/>
      <c r="F69" s="41"/>
      <c r="G69" s="41"/>
      <c r="V69" s="41"/>
    </row>
    <row r="70" spans="1:22" ht="14.25">
      <c r="A70" s="41"/>
      <c r="B70" s="41"/>
      <c r="E70" s="41"/>
      <c r="F70" s="41"/>
      <c r="G70" s="41"/>
      <c r="V70" s="41"/>
    </row>
    <row r="71" spans="1:22" ht="14.25">
      <c r="A71" s="41"/>
      <c r="B71" s="41"/>
      <c r="C71" s="355"/>
      <c r="D71" s="356"/>
      <c r="E71" s="41"/>
      <c r="F71" s="41"/>
      <c r="G71" s="41"/>
      <c r="V71" s="41"/>
    </row>
    <row r="72" spans="5:7" ht="14.25">
      <c r="E72" s="41"/>
      <c r="F72" s="41"/>
      <c r="G72" s="41"/>
    </row>
    <row r="73" spans="5:7" ht="14.25">
      <c r="E73" s="41"/>
      <c r="F73" s="41"/>
      <c r="G73" s="41"/>
    </row>
    <row r="74" spans="5:7" ht="14.25">
      <c r="E74" s="41"/>
      <c r="F74" s="41"/>
      <c r="G74" s="41"/>
    </row>
    <row r="75" spans="5:7" ht="14.25">
      <c r="E75" s="41"/>
      <c r="F75" s="41"/>
      <c r="G75" s="41"/>
    </row>
    <row r="76" spans="1:22" ht="14.25">
      <c r="A76" s="41"/>
      <c r="B76" s="41"/>
      <c r="E76" s="41"/>
      <c r="F76" s="41"/>
      <c r="G76" s="41"/>
      <c r="V76" s="41"/>
    </row>
    <row r="90" spans="8:39" ht="14.25">
      <c r="H90" s="85"/>
      <c r="I90" s="85"/>
      <c r="J90" s="85"/>
      <c r="K90" s="85"/>
      <c r="L90" s="85"/>
      <c r="M90" s="85"/>
      <c r="N90" s="40"/>
      <c r="O90" s="40"/>
      <c r="P90" s="40"/>
      <c r="Q90" s="40"/>
      <c r="R90" s="84"/>
      <c r="S90" s="85"/>
      <c r="T90" s="85"/>
      <c r="U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</row>
  </sheetData>
  <sheetProtection password="DEBF" sheet="1" objects="1" scenarios="1" selectLockedCells="1"/>
  <mergeCells count="56">
    <mergeCell ref="M38:O38"/>
    <mergeCell ref="M39:O39"/>
    <mergeCell ref="M40:O40"/>
    <mergeCell ref="K11:N11"/>
    <mergeCell ref="K21:N21"/>
    <mergeCell ref="K22:N22"/>
    <mergeCell ref="K23:N23"/>
    <mergeCell ref="K14:N14"/>
    <mergeCell ref="K20:N20"/>
    <mergeCell ref="L43:P43"/>
    <mergeCell ref="E52:F52"/>
    <mergeCell ref="R62:S62"/>
    <mergeCell ref="K45:N45"/>
    <mergeCell ref="L42:P42"/>
    <mergeCell ref="A57:F59"/>
    <mergeCell ref="R63:S63"/>
    <mergeCell ref="R64:S64"/>
    <mergeCell ref="H55:H56"/>
    <mergeCell ref="R47:R48"/>
    <mergeCell ref="AT51:AZ51"/>
    <mergeCell ref="K46:P46"/>
    <mergeCell ref="K50:P50"/>
    <mergeCell ref="L55:N55"/>
    <mergeCell ref="L56:N56"/>
    <mergeCell ref="K24:N24"/>
    <mergeCell ref="K25:N25"/>
    <mergeCell ref="K26:N26"/>
    <mergeCell ref="K27:N27"/>
    <mergeCell ref="K28:O28"/>
    <mergeCell ref="M29:O29"/>
    <mergeCell ref="I29:K29"/>
    <mergeCell ref="C5:D5"/>
    <mergeCell ref="D2:N2"/>
    <mergeCell ref="BC2:BG2"/>
    <mergeCell ref="K15:N15"/>
    <mergeCell ref="K16:N16"/>
    <mergeCell ref="K6:N6"/>
    <mergeCell ref="K7:N7"/>
    <mergeCell ref="K8:N8"/>
    <mergeCell ref="K9:N9"/>
    <mergeCell ref="B2:C2"/>
    <mergeCell ref="BH2:BU2"/>
    <mergeCell ref="CK4:CL4"/>
    <mergeCell ref="K18:N18"/>
    <mergeCell ref="K19:N19"/>
    <mergeCell ref="K17:N17"/>
    <mergeCell ref="K10:N10"/>
    <mergeCell ref="K12:N12"/>
    <mergeCell ref="K13:N13"/>
    <mergeCell ref="BN5:BP5"/>
    <mergeCell ref="CB4:CD4"/>
    <mergeCell ref="CE4:CG4"/>
    <mergeCell ref="BV4:BX4"/>
    <mergeCell ref="BY4:CA4"/>
    <mergeCell ref="E5:F5"/>
    <mergeCell ref="AT5:AZ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7"/>
  <sheetViews>
    <sheetView showZeros="0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7" sqref="B7:D7"/>
    </sheetView>
  </sheetViews>
  <sheetFormatPr defaultColWidth="9.140625" defaultRowHeight="15"/>
  <cols>
    <col min="1" max="1" width="39.140625" style="0" customWidth="1"/>
    <col min="2" max="2" width="16.00390625" style="0" customWidth="1"/>
    <col min="3" max="3" width="2.8515625" style="0" customWidth="1"/>
    <col min="4" max="4" width="10.7109375" style="0" customWidth="1"/>
    <col min="5" max="10" width="6.28125" style="0" customWidth="1"/>
    <col min="11" max="16" width="5.8515625" style="0" customWidth="1"/>
    <col min="17" max="17" width="0.9921875" style="0" customWidth="1"/>
    <col min="18" max="18" width="8.57421875" style="0" customWidth="1"/>
    <col min="19" max="19" width="38.28125" style="0" customWidth="1"/>
    <col min="20" max="20" width="6.7109375" style="0" customWidth="1"/>
    <col min="21" max="21" width="14.7109375" style="0" customWidth="1"/>
    <col min="22" max="22" width="13.8515625" style="5" customWidth="1"/>
    <col min="23" max="23" width="13.8515625" style="41" hidden="1" customWidth="1"/>
    <col min="24" max="24" width="11.8515625" style="41" hidden="1" customWidth="1"/>
    <col min="25" max="28" width="9.140625" style="41" hidden="1" customWidth="1"/>
    <col min="29" max="29" width="0" style="41" hidden="1" customWidth="1"/>
    <col min="30" max="33" width="0" style="0" hidden="1" customWidth="1"/>
  </cols>
  <sheetData>
    <row r="1" spans="1:25" ht="19.5" customHeight="1">
      <c r="A1" s="581" t="s">
        <v>220</v>
      </c>
      <c r="B1" s="592" t="s">
        <v>298</v>
      </c>
      <c r="C1" s="593"/>
      <c r="D1" s="594"/>
      <c r="E1" s="582" t="s">
        <v>219</v>
      </c>
      <c r="F1" s="582"/>
      <c r="G1" s="582"/>
      <c r="H1" s="582"/>
      <c r="I1" s="582"/>
      <c r="J1" s="582"/>
      <c r="K1" s="598" t="s">
        <v>251</v>
      </c>
      <c r="L1" s="599"/>
      <c r="M1" s="599"/>
      <c r="N1" s="599"/>
      <c r="O1" s="599"/>
      <c r="P1" s="599"/>
      <c r="R1" s="487"/>
      <c r="S1" s="583" t="s">
        <v>314</v>
      </c>
      <c r="T1" s="584"/>
      <c r="U1" s="585"/>
      <c r="V1" s="494"/>
      <c r="W1" s="485" t="s">
        <v>287</v>
      </c>
      <c r="X1" s="486" t="s">
        <v>289</v>
      </c>
      <c r="Y1" s="516">
        <f>bilance!B56</f>
        <v>0</v>
      </c>
    </row>
    <row r="2" spans="1:24" ht="16.5" customHeight="1">
      <c r="A2" s="581"/>
      <c r="B2" s="592"/>
      <c r="C2" s="593"/>
      <c r="D2" s="594"/>
      <c r="E2" s="480" t="s">
        <v>66</v>
      </c>
      <c r="F2" s="449" t="s">
        <v>221</v>
      </c>
      <c r="G2" s="449" t="s">
        <v>222</v>
      </c>
      <c r="H2" s="480" t="s">
        <v>192</v>
      </c>
      <c r="I2" s="480" t="s">
        <v>193</v>
      </c>
      <c r="J2" s="480" t="s">
        <v>191</v>
      </c>
      <c r="K2" s="481" t="s">
        <v>66</v>
      </c>
      <c r="L2" s="402" t="s">
        <v>221</v>
      </c>
      <c r="M2" s="402" t="s">
        <v>222</v>
      </c>
      <c r="N2" s="481" t="s">
        <v>192</v>
      </c>
      <c r="O2" s="481" t="s">
        <v>193</v>
      </c>
      <c r="P2" s="481" t="s">
        <v>191</v>
      </c>
      <c r="R2" s="487"/>
      <c r="S2" s="586"/>
      <c r="T2" s="587"/>
      <c r="U2" s="588"/>
      <c r="V2" s="494"/>
      <c r="W2" s="485" t="s">
        <v>291</v>
      </c>
      <c r="X2" s="486" t="s">
        <v>288</v>
      </c>
    </row>
    <row r="3" spans="1:24" ht="14.25" customHeight="1" thickBot="1">
      <c r="A3" s="581"/>
      <c r="B3" s="482">
        <f>bilance!I4</f>
        <v>2016</v>
      </c>
      <c r="C3" s="483" t="s">
        <v>4</v>
      </c>
      <c r="D3" s="484">
        <f>bilance!K4</f>
        <v>2017</v>
      </c>
      <c r="E3" s="512" t="s">
        <v>194</v>
      </c>
      <c r="F3" s="512" t="s">
        <v>194</v>
      </c>
      <c r="G3" s="512" t="s">
        <v>194</v>
      </c>
      <c r="H3" s="512" t="s">
        <v>194</v>
      </c>
      <c r="I3" s="512" t="s">
        <v>194</v>
      </c>
      <c r="J3" s="512" t="s">
        <v>194</v>
      </c>
      <c r="K3" s="513" t="s">
        <v>218</v>
      </c>
      <c r="L3" s="513" t="s">
        <v>218</v>
      </c>
      <c r="M3" s="513" t="s">
        <v>218</v>
      </c>
      <c r="N3" s="513" t="s">
        <v>218</v>
      </c>
      <c r="O3" s="513" t="s">
        <v>218</v>
      </c>
      <c r="P3" s="513" t="s">
        <v>218</v>
      </c>
      <c r="R3" s="488" t="s">
        <v>261</v>
      </c>
      <c r="S3" s="589"/>
      <c r="T3" s="590"/>
      <c r="U3" s="591"/>
      <c r="V3" s="494"/>
      <c r="W3" s="485" t="s">
        <v>292</v>
      </c>
      <c r="X3" s="486" t="s">
        <v>290</v>
      </c>
    </row>
    <row r="4" spans="1:25" ht="16.5" customHeight="1" thickBot="1">
      <c r="A4" s="461" t="s">
        <v>211</v>
      </c>
      <c r="B4" s="579"/>
      <c r="C4" s="579"/>
      <c r="D4" s="579"/>
      <c r="E4" s="462"/>
      <c r="F4" s="462"/>
      <c r="G4" s="462"/>
      <c r="H4" s="462"/>
      <c r="I4" s="462"/>
      <c r="J4" s="479"/>
      <c r="K4" s="454"/>
      <c r="L4" s="454"/>
      <c r="M4" s="454"/>
      <c r="N4" s="454"/>
      <c r="O4" s="454"/>
      <c r="P4" s="454"/>
      <c r="R4" s="465" t="s">
        <v>284</v>
      </c>
      <c r="S4" s="491">
        <f>IF(Y1=0,"",IF(Y5&gt;0,"",IF(Y4&gt;0,"překročení tolerovaného přebytku o","tolerovaný přebytek není překročen")))</f>
      </c>
      <c r="T4" s="492">
        <f>IF(Y5&gt;0,"",IF($Y4&lt;0,"",Y4))</f>
      </c>
      <c r="U4" s="493">
        <f>IF(Y5&gt;0,"",IF($Y4&lt;0,"","kg N/ha"))</f>
      </c>
      <c r="V4" s="495"/>
      <c r="W4" s="466">
        <f>IF(Y5&gt;0,"",bilance!I41)</f>
        <v>0</v>
      </c>
      <c r="X4" s="467">
        <f>IF(Y5&gt;0,"",bilance!I39)</f>
        <v>0</v>
      </c>
      <c r="Y4" s="517">
        <f>(bilance!I39-60)</f>
        <v>-60</v>
      </c>
    </row>
    <row r="5" spans="1:25" ht="16.5" customHeight="1" thickBot="1">
      <c r="A5" s="450" t="s">
        <v>208</v>
      </c>
      <c r="B5" s="576"/>
      <c r="C5" s="577"/>
      <c r="D5" s="578"/>
      <c r="E5" s="451">
        <v>15</v>
      </c>
      <c r="F5" s="451"/>
      <c r="G5" s="451"/>
      <c r="H5" s="451"/>
      <c r="I5" s="451">
        <v>20</v>
      </c>
      <c r="J5" s="451"/>
      <c r="K5" s="440">
        <f aca="true" t="shared" si="0" ref="K5:P6">E5*$B5/100</f>
        <v>0</v>
      </c>
      <c r="L5" s="440">
        <f t="shared" si="0"/>
        <v>0</v>
      </c>
      <c r="M5" s="440">
        <f t="shared" si="0"/>
        <v>0</v>
      </c>
      <c r="N5" s="440">
        <f t="shared" si="0"/>
        <v>0</v>
      </c>
      <c r="O5" s="440">
        <f t="shared" si="0"/>
        <v>0</v>
      </c>
      <c r="P5" s="440">
        <f t="shared" si="0"/>
        <v>0</v>
      </c>
      <c r="R5" s="41"/>
      <c r="S5" s="497">
        <f>IF(Y5&gt;0,"",IF($Y4&gt;0,"nakoupit o",""))</f>
      </c>
      <c r="T5" s="498">
        <f>IF(Y5&gt;0,"",IF($Y4&gt;0,W4,""))</f>
      </c>
      <c r="U5" s="493">
        <f>IF(Y5&gt;0,"",IF($Y4&gt;0,"t N méně",""))</f>
      </c>
      <c r="V5" s="501"/>
      <c r="W5" s="76"/>
      <c r="X5" s="76"/>
      <c r="Y5" s="518">
        <f>bilance!M31</f>
        <v>0</v>
      </c>
    </row>
    <row r="6" spans="1:25" ht="16.5" customHeight="1">
      <c r="A6" s="450" t="s">
        <v>252</v>
      </c>
      <c r="B6" s="576"/>
      <c r="C6" s="577"/>
      <c r="D6" s="578"/>
      <c r="E6" s="451">
        <v>33.5</v>
      </c>
      <c r="F6" s="451"/>
      <c r="G6" s="451"/>
      <c r="H6" s="451"/>
      <c r="I6" s="451">
        <v>13</v>
      </c>
      <c r="J6" s="451"/>
      <c r="K6" s="440">
        <f t="shared" si="0"/>
        <v>0</v>
      </c>
      <c r="L6" s="440">
        <f t="shared" si="0"/>
        <v>0</v>
      </c>
      <c r="M6" s="440">
        <f t="shared" si="0"/>
        <v>0</v>
      </c>
      <c r="N6" s="440">
        <f t="shared" si="0"/>
        <v>0</v>
      </c>
      <c r="O6" s="440">
        <f t="shared" si="0"/>
        <v>0</v>
      </c>
      <c r="P6" s="440">
        <f t="shared" si="0"/>
        <v>0</v>
      </c>
      <c r="R6" s="580">
        <f>IF(Y5&gt;0,"Údaj o spotřebě dusíku v minerálních hnojivech z této tabulky nebude použit, protože bilance byla vypočtena z přímo vloženého údaje o spotřebě živin v předchozím listu (buňka M31)","")</f>
      </c>
      <c r="S6" s="580"/>
      <c r="T6" s="580"/>
      <c r="U6" s="580"/>
      <c r="V6" s="501"/>
      <c r="W6" s="76"/>
      <c r="X6" s="76"/>
      <c r="Y6" s="519"/>
    </row>
    <row r="7" spans="1:25" ht="16.5" customHeight="1">
      <c r="A7" s="450" t="s">
        <v>316</v>
      </c>
      <c r="B7" s="576"/>
      <c r="C7" s="577"/>
      <c r="D7" s="578"/>
      <c r="E7" s="451">
        <v>27</v>
      </c>
      <c r="F7" s="451"/>
      <c r="G7" s="451"/>
      <c r="H7" s="451">
        <v>4</v>
      </c>
      <c r="I7" s="451">
        <v>7</v>
      </c>
      <c r="J7" s="451"/>
      <c r="K7" s="440">
        <f aca="true" t="shared" si="1" ref="K7:K26">E7*$B7/100</f>
        <v>0</v>
      </c>
      <c r="L7" s="440">
        <f aca="true" t="shared" si="2" ref="L7:L26">F7*$B7/100</f>
        <v>0</v>
      </c>
      <c r="M7" s="440">
        <f aca="true" t="shared" si="3" ref="M7:M26">G7*$B7/100</f>
        <v>0</v>
      </c>
      <c r="N7" s="440">
        <f aca="true" t="shared" si="4" ref="N7:N26">H7*$B7/100</f>
        <v>0</v>
      </c>
      <c r="O7" s="440">
        <f aca="true" t="shared" si="5" ref="O7:O26">I7*$B7/100</f>
        <v>0</v>
      </c>
      <c r="P7" s="440">
        <f aca="true" t="shared" si="6" ref="P7:P26">J7*$B7/100</f>
        <v>0</v>
      </c>
      <c r="R7" s="580"/>
      <c r="S7" s="580"/>
      <c r="T7" s="580"/>
      <c r="U7" s="580"/>
      <c r="V7" s="501"/>
      <c r="W7" s="76"/>
      <c r="X7" s="76"/>
      <c r="Y7" s="519"/>
    </row>
    <row r="8" spans="1:25" ht="16.5" customHeight="1">
      <c r="A8" s="450" t="s">
        <v>234</v>
      </c>
      <c r="B8" s="576"/>
      <c r="C8" s="577"/>
      <c r="D8" s="578"/>
      <c r="E8" s="451">
        <v>19</v>
      </c>
      <c r="F8" s="451"/>
      <c r="G8" s="451"/>
      <c r="H8" s="451"/>
      <c r="I8" s="451"/>
      <c r="J8" s="451">
        <v>5</v>
      </c>
      <c r="K8" s="440">
        <f t="shared" si="1"/>
        <v>0</v>
      </c>
      <c r="L8" s="440">
        <f t="shared" si="2"/>
        <v>0</v>
      </c>
      <c r="M8" s="440">
        <f t="shared" si="3"/>
        <v>0</v>
      </c>
      <c r="N8" s="440">
        <f t="shared" si="4"/>
        <v>0</v>
      </c>
      <c r="O8" s="440">
        <f t="shared" si="5"/>
        <v>0</v>
      </c>
      <c r="P8" s="440">
        <f t="shared" si="6"/>
        <v>0</v>
      </c>
      <c r="R8" s="580"/>
      <c r="S8" s="580"/>
      <c r="T8" s="580"/>
      <c r="U8" s="580"/>
      <c r="V8" s="496"/>
      <c r="W8" s="469"/>
      <c r="X8" s="464"/>
      <c r="Y8" s="519"/>
    </row>
    <row r="9" spans="1:25" ht="16.5" customHeight="1">
      <c r="A9" s="450" t="s">
        <v>209</v>
      </c>
      <c r="B9" s="576"/>
      <c r="C9" s="577"/>
      <c r="D9" s="578"/>
      <c r="E9" s="451">
        <v>20.5</v>
      </c>
      <c r="F9" s="451"/>
      <c r="G9" s="451"/>
      <c r="H9" s="451"/>
      <c r="I9" s="451"/>
      <c r="J9" s="451">
        <v>24</v>
      </c>
      <c r="K9" s="440">
        <f t="shared" si="1"/>
        <v>0</v>
      </c>
      <c r="L9" s="440">
        <f t="shared" si="2"/>
        <v>0</v>
      </c>
      <c r="M9" s="440">
        <f t="shared" si="3"/>
        <v>0</v>
      </c>
      <c r="N9" s="440">
        <f t="shared" si="4"/>
        <v>0</v>
      </c>
      <c r="O9" s="440">
        <f t="shared" si="5"/>
        <v>0</v>
      </c>
      <c r="P9" s="440">
        <f t="shared" si="6"/>
        <v>0</v>
      </c>
      <c r="R9" s="580"/>
      <c r="S9" s="580"/>
      <c r="T9" s="580"/>
      <c r="U9" s="580"/>
      <c r="V9" s="496"/>
      <c r="W9" s="469"/>
      <c r="X9" s="464"/>
      <c r="Y9" s="519"/>
    </row>
    <row r="10" spans="1:25" ht="16.5" customHeight="1">
      <c r="A10" s="450" t="s">
        <v>195</v>
      </c>
      <c r="B10" s="576"/>
      <c r="C10" s="577"/>
      <c r="D10" s="578"/>
      <c r="E10" s="451">
        <v>20</v>
      </c>
      <c r="F10" s="451"/>
      <c r="G10" s="451"/>
      <c r="H10" s="451"/>
      <c r="I10" s="451"/>
      <c r="J10" s="451">
        <v>20.5</v>
      </c>
      <c r="K10" s="440">
        <f t="shared" si="1"/>
        <v>0</v>
      </c>
      <c r="L10" s="440">
        <f t="shared" si="2"/>
        <v>0</v>
      </c>
      <c r="M10" s="440">
        <f t="shared" si="3"/>
        <v>0</v>
      </c>
      <c r="N10" s="440">
        <f t="shared" si="4"/>
        <v>0</v>
      </c>
      <c r="O10" s="440">
        <f t="shared" si="5"/>
        <v>0</v>
      </c>
      <c r="P10" s="440">
        <f t="shared" si="6"/>
        <v>0</v>
      </c>
      <c r="R10" s="580"/>
      <c r="S10" s="580"/>
      <c r="T10" s="580"/>
      <c r="U10" s="580"/>
      <c r="V10" s="496"/>
      <c r="W10" s="469"/>
      <c r="X10" s="464"/>
      <c r="Y10" s="519"/>
    </row>
    <row r="11" spans="1:25" ht="16.5" customHeight="1">
      <c r="A11" s="450" t="s">
        <v>249</v>
      </c>
      <c r="B11" s="576"/>
      <c r="C11" s="577"/>
      <c r="D11" s="578"/>
      <c r="E11" s="451">
        <v>26</v>
      </c>
      <c r="F11" s="451"/>
      <c r="G11" s="451"/>
      <c r="H11" s="451"/>
      <c r="I11" s="451"/>
      <c r="J11" s="451">
        <v>13</v>
      </c>
      <c r="K11" s="440">
        <f t="shared" si="1"/>
        <v>0</v>
      </c>
      <c r="L11" s="440">
        <f t="shared" si="2"/>
        <v>0</v>
      </c>
      <c r="M11" s="440">
        <f t="shared" si="3"/>
        <v>0</v>
      </c>
      <c r="N11" s="440">
        <f t="shared" si="4"/>
        <v>0</v>
      </c>
      <c r="O11" s="440">
        <f t="shared" si="5"/>
        <v>0</v>
      </c>
      <c r="P11" s="440">
        <f t="shared" si="6"/>
        <v>0</v>
      </c>
      <c r="R11" s="40"/>
      <c r="S11" s="468"/>
      <c r="T11" s="468"/>
      <c r="U11" s="469"/>
      <c r="V11" s="496"/>
      <c r="W11" s="469"/>
      <c r="X11" s="464"/>
      <c r="Y11" s="519"/>
    </row>
    <row r="12" spans="1:25" ht="16.5" customHeight="1">
      <c r="A12" s="450" t="s">
        <v>250</v>
      </c>
      <c r="B12" s="576"/>
      <c r="C12" s="577"/>
      <c r="D12" s="578"/>
      <c r="E12" s="451">
        <v>25</v>
      </c>
      <c r="F12" s="451"/>
      <c r="G12" s="451"/>
      <c r="H12" s="451"/>
      <c r="I12" s="451"/>
      <c r="J12" s="451">
        <v>12</v>
      </c>
      <c r="K12" s="440">
        <f t="shared" si="1"/>
        <v>0</v>
      </c>
      <c r="L12" s="440">
        <f t="shared" si="2"/>
        <v>0</v>
      </c>
      <c r="M12" s="440">
        <f t="shared" si="3"/>
        <v>0</v>
      </c>
      <c r="N12" s="440">
        <f t="shared" si="4"/>
        <v>0</v>
      </c>
      <c r="O12" s="440">
        <f t="shared" si="5"/>
        <v>0</v>
      </c>
      <c r="P12" s="440">
        <f t="shared" si="6"/>
        <v>0</v>
      </c>
      <c r="R12" s="40"/>
      <c r="S12" s="468"/>
      <c r="T12" s="468"/>
      <c r="U12" s="469"/>
      <c r="V12" s="496"/>
      <c r="W12" s="469"/>
      <c r="X12" s="464"/>
      <c r="Y12" s="519"/>
    </row>
    <row r="13" spans="1:25" ht="16.5" customHeight="1">
      <c r="A13" s="450" t="s">
        <v>210</v>
      </c>
      <c r="B13" s="576"/>
      <c r="C13" s="577"/>
      <c r="D13" s="578"/>
      <c r="E13" s="451">
        <v>24</v>
      </c>
      <c r="F13" s="451"/>
      <c r="G13" s="451"/>
      <c r="H13" s="451"/>
      <c r="I13" s="451"/>
      <c r="J13" s="451">
        <v>6</v>
      </c>
      <c r="K13" s="440">
        <f t="shared" si="1"/>
        <v>0</v>
      </c>
      <c r="L13" s="440">
        <f t="shared" si="2"/>
        <v>0</v>
      </c>
      <c r="M13" s="440">
        <f t="shared" si="3"/>
        <v>0</v>
      </c>
      <c r="N13" s="440">
        <f t="shared" si="4"/>
        <v>0</v>
      </c>
      <c r="O13" s="440">
        <f t="shared" si="5"/>
        <v>0</v>
      </c>
      <c r="P13" s="440">
        <f t="shared" si="6"/>
        <v>0</v>
      </c>
      <c r="R13" s="40"/>
      <c r="S13" s="468"/>
      <c r="T13" s="468"/>
      <c r="U13" s="469"/>
      <c r="V13" s="496"/>
      <c r="W13" s="469"/>
      <c r="X13" s="464"/>
      <c r="Y13" s="519"/>
    </row>
    <row r="14" spans="1:25" ht="16.5" customHeight="1">
      <c r="A14" s="450" t="s">
        <v>235</v>
      </c>
      <c r="B14" s="576"/>
      <c r="C14" s="577"/>
      <c r="D14" s="578"/>
      <c r="E14" s="451">
        <v>46</v>
      </c>
      <c r="F14" s="451"/>
      <c r="G14" s="451"/>
      <c r="H14" s="451"/>
      <c r="I14" s="451"/>
      <c r="J14" s="451"/>
      <c r="K14" s="440">
        <f t="shared" si="1"/>
        <v>0</v>
      </c>
      <c r="L14" s="440">
        <f t="shared" si="2"/>
        <v>0</v>
      </c>
      <c r="M14" s="440">
        <f t="shared" si="3"/>
        <v>0</v>
      </c>
      <c r="N14" s="440">
        <f t="shared" si="4"/>
        <v>0</v>
      </c>
      <c r="O14" s="440">
        <f t="shared" si="5"/>
        <v>0</v>
      </c>
      <c r="P14" s="440">
        <f t="shared" si="6"/>
        <v>0</v>
      </c>
      <c r="R14" s="40"/>
      <c r="S14" s="468"/>
      <c r="T14" s="468"/>
      <c r="U14" s="469"/>
      <c r="V14" s="496"/>
      <c r="W14" s="469"/>
      <c r="X14" s="464"/>
      <c r="Y14" s="519"/>
    </row>
    <row r="15" spans="1:25" ht="16.5" customHeight="1">
      <c r="A15" s="450" t="s">
        <v>253</v>
      </c>
      <c r="B15" s="576"/>
      <c r="C15" s="577"/>
      <c r="D15" s="578"/>
      <c r="E15" s="451">
        <v>46</v>
      </c>
      <c r="F15" s="451"/>
      <c r="G15" s="451"/>
      <c r="H15" s="451"/>
      <c r="I15" s="451"/>
      <c r="J15" s="451"/>
      <c r="K15" s="440">
        <f t="shared" si="1"/>
        <v>0</v>
      </c>
      <c r="L15" s="440">
        <f t="shared" si="2"/>
        <v>0</v>
      </c>
      <c r="M15" s="440">
        <f t="shared" si="3"/>
        <v>0</v>
      </c>
      <c r="N15" s="440">
        <f t="shared" si="4"/>
        <v>0</v>
      </c>
      <c r="O15" s="440">
        <f t="shared" si="5"/>
        <v>0</v>
      </c>
      <c r="P15" s="440">
        <f t="shared" si="6"/>
        <v>0</v>
      </c>
      <c r="R15" s="40"/>
      <c r="S15" s="468"/>
      <c r="T15" s="468"/>
      <c r="U15" s="469"/>
      <c r="V15" s="496"/>
      <c r="W15" s="469"/>
      <c r="X15" s="464"/>
      <c r="Y15" s="519"/>
    </row>
    <row r="16" spans="1:25" ht="16.5" customHeight="1">
      <c r="A16" s="450" t="s">
        <v>254</v>
      </c>
      <c r="B16" s="576"/>
      <c r="C16" s="577"/>
      <c r="D16" s="578"/>
      <c r="E16" s="451">
        <v>38</v>
      </c>
      <c r="F16" s="451"/>
      <c r="G16" s="451"/>
      <c r="H16" s="451"/>
      <c r="I16" s="451"/>
      <c r="J16" s="451">
        <v>7</v>
      </c>
      <c r="K16" s="440">
        <f t="shared" si="1"/>
        <v>0</v>
      </c>
      <c r="L16" s="440">
        <f t="shared" si="2"/>
        <v>0</v>
      </c>
      <c r="M16" s="440">
        <f t="shared" si="3"/>
        <v>0</v>
      </c>
      <c r="N16" s="440">
        <f t="shared" si="4"/>
        <v>0</v>
      </c>
      <c r="O16" s="440">
        <f t="shared" si="5"/>
        <v>0</v>
      </c>
      <c r="P16" s="440">
        <f t="shared" si="6"/>
        <v>0</v>
      </c>
      <c r="R16" s="40"/>
      <c r="S16" s="463"/>
      <c r="T16" s="468"/>
      <c r="U16" s="469"/>
      <c r="V16" s="496"/>
      <c r="W16" s="469"/>
      <c r="X16" s="464"/>
      <c r="Y16" s="519"/>
    </row>
    <row r="17" spans="1:25" ht="16.5" customHeight="1">
      <c r="A17" s="450" t="s">
        <v>236</v>
      </c>
      <c r="B17" s="576"/>
      <c r="C17" s="577"/>
      <c r="D17" s="578"/>
      <c r="E17" s="451">
        <v>33</v>
      </c>
      <c r="F17" s="451"/>
      <c r="G17" s="451"/>
      <c r="H17" s="451"/>
      <c r="I17" s="451"/>
      <c r="J17" s="451">
        <v>12</v>
      </c>
      <c r="K17" s="440">
        <f t="shared" si="1"/>
        <v>0</v>
      </c>
      <c r="L17" s="440">
        <f t="shared" si="2"/>
        <v>0</v>
      </c>
      <c r="M17" s="440">
        <f t="shared" si="3"/>
        <v>0</v>
      </c>
      <c r="N17" s="440">
        <f t="shared" si="4"/>
        <v>0</v>
      </c>
      <c r="O17" s="440">
        <f t="shared" si="5"/>
        <v>0</v>
      </c>
      <c r="P17" s="440">
        <f t="shared" si="6"/>
        <v>0</v>
      </c>
      <c r="R17" s="40"/>
      <c r="S17" s="468"/>
      <c r="T17" s="468"/>
      <c r="U17" s="469"/>
      <c r="V17" s="496"/>
      <c r="W17" s="469"/>
      <c r="X17" s="464"/>
      <c r="Y17" s="519"/>
    </row>
    <row r="18" spans="1:25" ht="16.5" customHeight="1">
      <c r="A18" s="450" t="s">
        <v>255</v>
      </c>
      <c r="B18" s="576"/>
      <c r="C18" s="577"/>
      <c r="D18" s="578"/>
      <c r="E18" s="451">
        <v>46</v>
      </c>
      <c r="F18" s="451"/>
      <c r="G18" s="451"/>
      <c r="H18" s="451"/>
      <c r="I18" s="451"/>
      <c r="J18" s="451"/>
      <c r="K18" s="440">
        <f t="shared" si="1"/>
        <v>0</v>
      </c>
      <c r="L18" s="440">
        <f t="shared" si="2"/>
        <v>0</v>
      </c>
      <c r="M18" s="440">
        <f t="shared" si="3"/>
        <v>0</v>
      </c>
      <c r="N18" s="440">
        <f t="shared" si="4"/>
        <v>0</v>
      </c>
      <c r="O18" s="440">
        <f t="shared" si="5"/>
        <v>0</v>
      </c>
      <c r="P18" s="440">
        <f t="shared" si="6"/>
        <v>0</v>
      </c>
      <c r="R18" s="40"/>
      <c r="S18" s="468"/>
      <c r="T18" s="468"/>
      <c r="U18" s="469"/>
      <c r="V18" s="496"/>
      <c r="W18" s="469"/>
      <c r="X18" s="464"/>
      <c r="Y18" s="519"/>
    </row>
    <row r="19" spans="1:25" ht="16.5" customHeight="1">
      <c r="A19" s="450" t="s">
        <v>237</v>
      </c>
      <c r="B19" s="576"/>
      <c r="C19" s="577"/>
      <c r="D19" s="578"/>
      <c r="E19" s="451">
        <v>28</v>
      </c>
      <c r="F19" s="451"/>
      <c r="G19" s="451"/>
      <c r="H19" s="451"/>
      <c r="I19" s="451"/>
      <c r="J19" s="451"/>
      <c r="K19" s="440">
        <f t="shared" si="1"/>
        <v>0</v>
      </c>
      <c r="L19" s="440">
        <f t="shared" si="2"/>
        <v>0</v>
      </c>
      <c r="M19" s="440">
        <f t="shared" si="3"/>
        <v>0</v>
      </c>
      <c r="N19" s="440">
        <f t="shared" si="4"/>
        <v>0</v>
      </c>
      <c r="O19" s="440">
        <f t="shared" si="5"/>
        <v>0</v>
      </c>
      <c r="P19" s="440">
        <f t="shared" si="6"/>
        <v>0</v>
      </c>
      <c r="R19" s="40"/>
      <c r="S19" s="468"/>
      <c r="T19" s="468"/>
      <c r="U19" s="469"/>
      <c r="V19" s="496"/>
      <c r="W19" s="469"/>
      <c r="X19" s="464"/>
      <c r="Y19" s="519"/>
    </row>
    <row r="20" spans="1:25" ht="16.5" customHeight="1">
      <c r="A20" s="450" t="s">
        <v>238</v>
      </c>
      <c r="B20" s="576"/>
      <c r="C20" s="577"/>
      <c r="D20" s="578"/>
      <c r="E20" s="451">
        <v>30</v>
      </c>
      <c r="F20" s="451"/>
      <c r="G20" s="451"/>
      <c r="H20" s="451"/>
      <c r="I20" s="451"/>
      <c r="J20" s="451"/>
      <c r="K20" s="440">
        <f t="shared" si="1"/>
        <v>0</v>
      </c>
      <c r="L20" s="440">
        <f t="shared" si="2"/>
        <v>0</v>
      </c>
      <c r="M20" s="440">
        <f t="shared" si="3"/>
        <v>0</v>
      </c>
      <c r="N20" s="440">
        <f t="shared" si="4"/>
        <v>0</v>
      </c>
      <c r="O20" s="440">
        <f t="shared" si="5"/>
        <v>0</v>
      </c>
      <c r="P20" s="440">
        <f t="shared" si="6"/>
        <v>0</v>
      </c>
      <c r="R20" s="40"/>
      <c r="S20" s="468"/>
      <c r="T20" s="468"/>
      <c r="U20" s="469"/>
      <c r="V20" s="496"/>
      <c r="W20" s="469"/>
      <c r="X20" s="464"/>
      <c r="Y20" s="519"/>
    </row>
    <row r="21" spans="1:25" ht="16.5" customHeight="1">
      <c r="A21" s="452" t="s">
        <v>277</v>
      </c>
      <c r="B21" s="576"/>
      <c r="C21" s="577"/>
      <c r="D21" s="578"/>
      <c r="E21" s="451"/>
      <c r="F21" s="451"/>
      <c r="G21" s="451"/>
      <c r="H21" s="451"/>
      <c r="I21" s="451"/>
      <c r="J21" s="451"/>
      <c r="K21" s="440">
        <f t="shared" si="1"/>
        <v>0</v>
      </c>
      <c r="L21" s="440">
        <f t="shared" si="2"/>
        <v>0</v>
      </c>
      <c r="M21" s="440">
        <f t="shared" si="3"/>
        <v>0</v>
      </c>
      <c r="N21" s="440">
        <f t="shared" si="4"/>
        <v>0</v>
      </c>
      <c r="O21" s="440">
        <f t="shared" si="5"/>
        <v>0</v>
      </c>
      <c r="P21" s="440">
        <f t="shared" si="6"/>
        <v>0</v>
      </c>
      <c r="R21" s="40"/>
      <c r="S21" s="468"/>
      <c r="T21" s="468"/>
      <c r="U21" s="469"/>
      <c r="V21" s="496"/>
      <c r="W21" s="469"/>
      <c r="X21" s="464"/>
      <c r="Y21" s="519"/>
    </row>
    <row r="22" spans="1:25" ht="16.5" customHeight="1">
      <c r="A22" s="514"/>
      <c r="B22" s="576"/>
      <c r="C22" s="577"/>
      <c r="D22" s="578"/>
      <c r="E22" s="515"/>
      <c r="F22" s="515"/>
      <c r="G22" s="515"/>
      <c r="H22" s="515"/>
      <c r="I22" s="515"/>
      <c r="J22" s="515"/>
      <c r="K22" s="440">
        <f t="shared" si="1"/>
        <v>0</v>
      </c>
      <c r="L22" s="440">
        <f t="shared" si="2"/>
        <v>0</v>
      </c>
      <c r="M22" s="440">
        <f t="shared" si="3"/>
        <v>0</v>
      </c>
      <c r="N22" s="440">
        <f t="shared" si="4"/>
        <v>0</v>
      </c>
      <c r="O22" s="440">
        <f t="shared" si="5"/>
        <v>0</v>
      </c>
      <c r="P22" s="440">
        <f t="shared" si="6"/>
        <v>0</v>
      </c>
      <c r="R22" s="40"/>
      <c r="S22" s="468"/>
      <c r="T22" s="468"/>
      <c r="U22" s="469"/>
      <c r="V22" s="496"/>
      <c r="W22" s="469"/>
      <c r="X22" s="464"/>
      <c r="Y22" s="519"/>
    </row>
    <row r="23" spans="1:25" ht="16.5" customHeight="1">
      <c r="A23" s="514"/>
      <c r="B23" s="576"/>
      <c r="C23" s="577"/>
      <c r="D23" s="578"/>
      <c r="E23" s="515"/>
      <c r="F23" s="515"/>
      <c r="G23" s="515"/>
      <c r="H23" s="515"/>
      <c r="I23" s="515"/>
      <c r="J23" s="515"/>
      <c r="K23" s="440">
        <f t="shared" si="1"/>
        <v>0</v>
      </c>
      <c r="L23" s="440">
        <f t="shared" si="2"/>
        <v>0</v>
      </c>
      <c r="M23" s="440">
        <f t="shared" si="3"/>
        <v>0</v>
      </c>
      <c r="N23" s="440">
        <f t="shared" si="4"/>
        <v>0</v>
      </c>
      <c r="O23" s="440">
        <f t="shared" si="5"/>
        <v>0</v>
      </c>
      <c r="P23" s="440">
        <f t="shared" si="6"/>
        <v>0</v>
      </c>
      <c r="R23" s="40"/>
      <c r="S23" s="468"/>
      <c r="T23" s="468"/>
      <c r="U23" s="469"/>
      <c r="V23" s="496"/>
      <c r="W23" s="469"/>
      <c r="X23" s="464"/>
      <c r="Y23" s="519"/>
    </row>
    <row r="24" spans="1:25" ht="16.5" customHeight="1">
      <c r="A24" s="432"/>
      <c r="B24" s="576"/>
      <c r="C24" s="577"/>
      <c r="D24" s="578"/>
      <c r="E24" s="433"/>
      <c r="F24" s="433"/>
      <c r="G24" s="433"/>
      <c r="H24" s="433"/>
      <c r="I24" s="433"/>
      <c r="J24" s="433"/>
      <c r="K24" s="440">
        <f t="shared" si="1"/>
        <v>0</v>
      </c>
      <c r="L24" s="440">
        <f t="shared" si="2"/>
        <v>0</v>
      </c>
      <c r="M24" s="440">
        <f t="shared" si="3"/>
        <v>0</v>
      </c>
      <c r="N24" s="440">
        <f t="shared" si="4"/>
        <v>0</v>
      </c>
      <c r="O24" s="440">
        <f t="shared" si="5"/>
        <v>0</v>
      </c>
      <c r="P24" s="440">
        <f t="shared" si="6"/>
        <v>0</v>
      </c>
      <c r="R24" s="40"/>
      <c r="S24" s="468"/>
      <c r="T24" s="468"/>
      <c r="U24" s="469"/>
      <c r="V24" s="496"/>
      <c r="W24" s="469"/>
      <c r="X24" s="464"/>
      <c r="Y24" s="519"/>
    </row>
    <row r="25" spans="1:25" ht="16.5" customHeight="1">
      <c r="A25" s="432"/>
      <c r="B25" s="576"/>
      <c r="C25" s="577"/>
      <c r="D25" s="578"/>
      <c r="E25" s="433"/>
      <c r="F25" s="433"/>
      <c r="G25" s="433"/>
      <c r="H25" s="433"/>
      <c r="I25" s="433"/>
      <c r="J25" s="433"/>
      <c r="K25" s="440">
        <f t="shared" si="1"/>
        <v>0</v>
      </c>
      <c r="L25" s="440">
        <f t="shared" si="2"/>
        <v>0</v>
      </c>
      <c r="M25" s="440">
        <f t="shared" si="3"/>
        <v>0</v>
      </c>
      <c r="N25" s="440">
        <f t="shared" si="4"/>
        <v>0</v>
      </c>
      <c r="O25" s="440">
        <f t="shared" si="5"/>
        <v>0</v>
      </c>
      <c r="P25" s="440">
        <f t="shared" si="6"/>
        <v>0</v>
      </c>
      <c r="R25" s="40"/>
      <c r="S25" s="468"/>
      <c r="T25" s="468"/>
      <c r="U25" s="469"/>
      <c r="V25" s="496"/>
      <c r="W25" s="469"/>
      <c r="X25" s="464"/>
      <c r="Y25" s="519"/>
    </row>
    <row r="26" spans="1:25" ht="16.5" customHeight="1" thickBot="1">
      <c r="A26" s="432"/>
      <c r="B26" s="576"/>
      <c r="C26" s="577"/>
      <c r="D26" s="578"/>
      <c r="E26" s="433"/>
      <c r="F26" s="433"/>
      <c r="G26" s="433"/>
      <c r="H26" s="433"/>
      <c r="I26" s="433"/>
      <c r="J26" s="433"/>
      <c r="K26" s="440">
        <f t="shared" si="1"/>
        <v>0</v>
      </c>
      <c r="L26" s="440">
        <f t="shared" si="2"/>
        <v>0</v>
      </c>
      <c r="M26" s="440">
        <f t="shared" si="3"/>
        <v>0</v>
      </c>
      <c r="N26" s="440">
        <f t="shared" si="4"/>
        <v>0</v>
      </c>
      <c r="O26" s="440">
        <f t="shared" si="5"/>
        <v>0</v>
      </c>
      <c r="P26" s="440">
        <f t="shared" si="6"/>
        <v>0</v>
      </c>
      <c r="R26" s="40"/>
      <c r="S26" s="468"/>
      <c r="T26" s="468"/>
      <c r="U26" s="469"/>
      <c r="V26" s="496"/>
      <c r="W26" s="469"/>
      <c r="X26" s="464"/>
      <c r="Y26" s="519"/>
    </row>
    <row r="27" spans="1:25" ht="16.5" customHeight="1" thickBot="1">
      <c r="A27" s="476" t="s">
        <v>212</v>
      </c>
      <c r="B27" s="595"/>
      <c r="C27" s="595"/>
      <c r="D27" s="595"/>
      <c r="E27" s="477"/>
      <c r="F27" s="477"/>
      <c r="G27" s="477"/>
      <c r="H27" s="477"/>
      <c r="I27" s="477"/>
      <c r="J27" s="478"/>
      <c r="K27" s="455"/>
      <c r="L27" s="455"/>
      <c r="M27" s="455"/>
      <c r="N27" s="455"/>
      <c r="O27" s="455"/>
      <c r="P27" s="455"/>
      <c r="R27" s="465" t="s">
        <v>285</v>
      </c>
      <c r="S27" s="491">
        <f>IF(Y1=0,"",IF(Y28&gt;0,"",IF(W27&lt;0,"bilanční nedostatek průměrně","odběr nahrazen hnojením")))</f>
      </c>
      <c r="T27" s="492">
        <f>IF(Y28&gt;0,"",IF($Y27&lt;0,Y27*-1,""))</f>
      </c>
      <c r="U27" s="493">
        <f>IF(Y28&gt;0,"",IF($Y27&lt;0,"kg P2O5/ha",""))</f>
      </c>
      <c r="V27" s="495"/>
      <c r="W27" s="466">
        <f>IF(Y28&gt;0,"",bilance!J41)</f>
      </c>
      <c r="X27" s="467">
        <f>IF(Y28&gt;0,"",bilance!J39)</f>
        <v>0</v>
      </c>
      <c r="Y27" s="517">
        <f>bilance!J39</f>
        <v>0</v>
      </c>
    </row>
    <row r="28" spans="1:25" ht="16.5" customHeight="1" thickBot="1">
      <c r="A28" s="450" t="s">
        <v>248</v>
      </c>
      <c r="B28" s="576"/>
      <c r="C28" s="577"/>
      <c r="D28" s="578"/>
      <c r="E28" s="451">
        <v>12</v>
      </c>
      <c r="F28" s="451">
        <v>52</v>
      </c>
      <c r="G28" s="451"/>
      <c r="H28" s="451"/>
      <c r="I28" s="451"/>
      <c r="J28" s="451"/>
      <c r="K28" s="440">
        <f aca="true" t="shared" si="7" ref="K28:P28">E28*$B28/100</f>
        <v>0</v>
      </c>
      <c r="L28" s="440">
        <f t="shared" si="7"/>
        <v>0</v>
      </c>
      <c r="M28" s="440">
        <f t="shared" si="7"/>
        <v>0</v>
      </c>
      <c r="N28" s="440">
        <f t="shared" si="7"/>
        <v>0</v>
      </c>
      <c r="O28" s="440">
        <f t="shared" si="7"/>
        <v>0</v>
      </c>
      <c r="P28" s="440">
        <f t="shared" si="7"/>
        <v>0</v>
      </c>
      <c r="R28" s="41"/>
      <c r="S28" s="497">
        <f>IF(Y28&gt;0,"",IF($Y27&lt;0,"nakoupit o",""))</f>
      </c>
      <c r="T28" s="498">
        <f>IF(Y28&gt;0,"",IF($Y27&lt;0,W27*-1,""))</f>
      </c>
      <c r="U28" s="493">
        <f>IF(Y28&gt;0,"",IF($Y27&lt;0,"t P2O5 více",""))</f>
      </c>
      <c r="V28" s="501"/>
      <c r="W28" s="76"/>
      <c r="X28" s="76"/>
      <c r="Y28" s="518">
        <f>bilance!N31</f>
        <v>0</v>
      </c>
    </row>
    <row r="29" spans="1:25" ht="16.5" customHeight="1">
      <c r="A29" s="450" t="s">
        <v>196</v>
      </c>
      <c r="B29" s="576"/>
      <c r="C29" s="577"/>
      <c r="D29" s="578"/>
      <c r="E29" s="451">
        <v>18</v>
      </c>
      <c r="F29" s="451">
        <v>46</v>
      </c>
      <c r="G29" s="451"/>
      <c r="H29" s="451">
        <v>1.7</v>
      </c>
      <c r="I29" s="451"/>
      <c r="J29" s="451">
        <v>3.5</v>
      </c>
      <c r="K29" s="440">
        <f aca="true" t="shared" si="8" ref="K29:K35">E29*$B29/100</f>
        <v>0</v>
      </c>
      <c r="L29" s="440">
        <f aca="true" t="shared" si="9" ref="L29:L35">F29*$B29/100</f>
        <v>0</v>
      </c>
      <c r="M29" s="440">
        <f aca="true" t="shared" si="10" ref="M29:M35">G29*$B29/100</f>
        <v>0</v>
      </c>
      <c r="N29" s="440">
        <f aca="true" t="shared" si="11" ref="N29:N35">H29*$B29/100</f>
        <v>0</v>
      </c>
      <c r="O29" s="440">
        <f aca="true" t="shared" si="12" ref="O29:O35">I29*$B29/100</f>
        <v>0</v>
      </c>
      <c r="P29" s="440">
        <f aca="true" t="shared" si="13" ref="P29:P35">J29*$B29/100</f>
        <v>0</v>
      </c>
      <c r="R29" s="580">
        <f>IF(Y28&gt;0,"Údaj o spotřebě fosforu v minerálních hnojivech z této tabulky nebude použit, protože bilance byla vypočtena z přímo vloženého údaje o spotřebě živin v předchozím listu (buňka N31)","")</f>
      </c>
      <c r="S29" s="580"/>
      <c r="T29" s="580"/>
      <c r="U29" s="580"/>
      <c r="V29" s="501"/>
      <c r="W29" s="76"/>
      <c r="X29" s="76"/>
      <c r="Y29" s="519"/>
    </row>
    <row r="30" spans="1:25" ht="16.5" customHeight="1">
      <c r="A30" s="450" t="s">
        <v>299</v>
      </c>
      <c r="B30" s="576"/>
      <c r="C30" s="577"/>
      <c r="D30" s="578"/>
      <c r="E30" s="451"/>
      <c r="F30" s="451">
        <v>45</v>
      </c>
      <c r="G30" s="451"/>
      <c r="H30" s="451"/>
      <c r="I30" s="451"/>
      <c r="J30" s="451"/>
      <c r="K30" s="440">
        <f t="shared" si="8"/>
        <v>0</v>
      </c>
      <c r="L30" s="440">
        <f t="shared" si="9"/>
        <v>0</v>
      </c>
      <c r="M30" s="440">
        <f t="shared" si="10"/>
        <v>0</v>
      </c>
      <c r="N30" s="440">
        <f t="shared" si="11"/>
        <v>0</v>
      </c>
      <c r="O30" s="440">
        <f t="shared" si="12"/>
        <v>0</v>
      </c>
      <c r="P30" s="440">
        <f t="shared" si="13"/>
        <v>0</v>
      </c>
      <c r="R30" s="580"/>
      <c r="S30" s="580"/>
      <c r="T30" s="580"/>
      <c r="U30" s="580"/>
      <c r="V30" s="501"/>
      <c r="W30" s="76"/>
      <c r="X30" s="76"/>
      <c r="Y30" s="519"/>
    </row>
    <row r="31" spans="1:25" ht="16.5" customHeight="1">
      <c r="A31" s="450" t="s">
        <v>197</v>
      </c>
      <c r="B31" s="576"/>
      <c r="C31" s="577"/>
      <c r="D31" s="578"/>
      <c r="E31" s="451"/>
      <c r="F31" s="451">
        <v>40</v>
      </c>
      <c r="G31" s="451"/>
      <c r="H31" s="451"/>
      <c r="I31" s="451"/>
      <c r="J31" s="451">
        <v>5</v>
      </c>
      <c r="K31" s="440">
        <f t="shared" si="8"/>
        <v>0</v>
      </c>
      <c r="L31" s="440">
        <f t="shared" si="9"/>
        <v>0</v>
      </c>
      <c r="M31" s="440">
        <f t="shared" si="10"/>
        <v>0</v>
      </c>
      <c r="N31" s="440">
        <f t="shared" si="11"/>
        <v>0</v>
      </c>
      <c r="O31" s="440">
        <f t="shared" si="12"/>
        <v>0</v>
      </c>
      <c r="P31" s="440">
        <f t="shared" si="13"/>
        <v>0</v>
      </c>
      <c r="R31" s="580"/>
      <c r="S31" s="580"/>
      <c r="T31" s="580"/>
      <c r="U31" s="580"/>
      <c r="V31" s="496"/>
      <c r="W31" s="469"/>
      <c r="X31" s="464"/>
      <c r="Y31" s="519"/>
    </row>
    <row r="32" spans="1:25" ht="16.5" customHeight="1">
      <c r="A32" s="452" t="s">
        <v>277</v>
      </c>
      <c r="B32" s="576"/>
      <c r="C32" s="577"/>
      <c r="D32" s="578"/>
      <c r="E32" s="451"/>
      <c r="F32" s="451"/>
      <c r="G32" s="451"/>
      <c r="H32" s="451"/>
      <c r="I32" s="451"/>
      <c r="J32" s="451"/>
      <c r="K32" s="440">
        <f t="shared" si="8"/>
        <v>0</v>
      </c>
      <c r="L32" s="440">
        <f t="shared" si="9"/>
        <v>0</v>
      </c>
      <c r="M32" s="440">
        <f t="shared" si="10"/>
        <v>0</v>
      </c>
      <c r="N32" s="440">
        <f t="shared" si="11"/>
        <v>0</v>
      </c>
      <c r="O32" s="440">
        <f t="shared" si="12"/>
        <v>0</v>
      </c>
      <c r="P32" s="440">
        <f t="shared" si="13"/>
        <v>0</v>
      </c>
      <c r="R32" s="580"/>
      <c r="S32" s="580"/>
      <c r="T32" s="580"/>
      <c r="U32" s="580"/>
      <c r="V32" s="496"/>
      <c r="W32" s="469"/>
      <c r="X32" s="464"/>
      <c r="Y32" s="519"/>
    </row>
    <row r="33" spans="1:25" ht="16.5" customHeight="1">
      <c r="A33" s="432"/>
      <c r="B33" s="576"/>
      <c r="C33" s="577"/>
      <c r="D33" s="578"/>
      <c r="E33" s="433"/>
      <c r="F33" s="433"/>
      <c r="G33" s="433"/>
      <c r="H33" s="433"/>
      <c r="I33" s="433"/>
      <c r="J33" s="433"/>
      <c r="K33" s="440">
        <f t="shared" si="8"/>
        <v>0</v>
      </c>
      <c r="L33" s="440">
        <f t="shared" si="9"/>
        <v>0</v>
      </c>
      <c r="M33" s="440">
        <f t="shared" si="10"/>
        <v>0</v>
      </c>
      <c r="N33" s="440">
        <f t="shared" si="11"/>
        <v>0</v>
      </c>
      <c r="O33" s="440">
        <f t="shared" si="12"/>
        <v>0</v>
      </c>
      <c r="P33" s="440">
        <f t="shared" si="13"/>
        <v>0</v>
      </c>
      <c r="R33" s="580"/>
      <c r="S33" s="580"/>
      <c r="T33" s="580"/>
      <c r="U33" s="580"/>
      <c r="V33" s="496"/>
      <c r="W33" s="469"/>
      <c r="X33" s="464"/>
      <c r="Y33" s="519"/>
    </row>
    <row r="34" spans="1:25" ht="16.5" customHeight="1">
      <c r="A34" s="432"/>
      <c r="B34" s="576"/>
      <c r="C34" s="577"/>
      <c r="D34" s="578"/>
      <c r="E34" s="433"/>
      <c r="F34" s="433"/>
      <c r="G34" s="433"/>
      <c r="H34" s="433"/>
      <c r="I34" s="433"/>
      <c r="J34" s="433"/>
      <c r="K34" s="440">
        <f t="shared" si="8"/>
        <v>0</v>
      </c>
      <c r="L34" s="440">
        <f t="shared" si="9"/>
        <v>0</v>
      </c>
      <c r="M34" s="440">
        <f t="shared" si="10"/>
        <v>0</v>
      </c>
      <c r="N34" s="440">
        <f t="shared" si="11"/>
        <v>0</v>
      </c>
      <c r="O34" s="440">
        <f t="shared" si="12"/>
        <v>0</v>
      </c>
      <c r="P34" s="440">
        <f t="shared" si="13"/>
        <v>0</v>
      </c>
      <c r="R34" s="40"/>
      <c r="S34" s="468"/>
      <c r="T34" s="468"/>
      <c r="U34" s="469"/>
      <c r="V34" s="496"/>
      <c r="W34" s="469"/>
      <c r="X34" s="464"/>
      <c r="Y34" s="519"/>
    </row>
    <row r="35" spans="1:25" ht="16.5" customHeight="1" thickBot="1">
      <c r="A35" s="434"/>
      <c r="B35" s="576"/>
      <c r="C35" s="577"/>
      <c r="D35" s="578"/>
      <c r="E35" s="433"/>
      <c r="F35" s="433"/>
      <c r="G35" s="433"/>
      <c r="H35" s="433"/>
      <c r="I35" s="433"/>
      <c r="J35" s="433"/>
      <c r="K35" s="440">
        <f t="shared" si="8"/>
        <v>0</v>
      </c>
      <c r="L35" s="440">
        <f t="shared" si="9"/>
        <v>0</v>
      </c>
      <c r="M35" s="440">
        <f t="shared" si="10"/>
        <v>0</v>
      </c>
      <c r="N35" s="440">
        <f t="shared" si="11"/>
        <v>0</v>
      </c>
      <c r="O35" s="440">
        <f t="shared" si="12"/>
        <v>0</v>
      </c>
      <c r="P35" s="440">
        <f t="shared" si="13"/>
        <v>0</v>
      </c>
      <c r="R35" s="40"/>
      <c r="S35" s="468"/>
      <c r="T35" s="468"/>
      <c r="U35" s="469"/>
      <c r="V35" s="496"/>
      <c r="W35" s="469"/>
      <c r="X35" s="464"/>
      <c r="Y35" s="519"/>
    </row>
    <row r="36" spans="1:25" ht="16.5" customHeight="1" thickBot="1">
      <c r="A36" s="476" t="s">
        <v>213</v>
      </c>
      <c r="B36" s="595"/>
      <c r="C36" s="595"/>
      <c r="D36" s="595"/>
      <c r="E36" s="477"/>
      <c r="F36" s="477"/>
      <c r="G36" s="477"/>
      <c r="H36" s="477"/>
      <c r="I36" s="477"/>
      <c r="J36" s="478"/>
      <c r="K36" s="455"/>
      <c r="L36" s="455"/>
      <c r="M36" s="455"/>
      <c r="N36" s="455"/>
      <c r="O36" s="455"/>
      <c r="P36" s="455"/>
      <c r="R36" s="465" t="s">
        <v>286</v>
      </c>
      <c r="S36" s="491">
        <f>IF(Y1=0,"",IF(Y37&gt;0,"",IF(W36&lt;0,"bilanční nedostatek průměrně","odběr nahrazen hnojením")))</f>
      </c>
      <c r="T36" s="492">
        <f>IF(Y37&gt;0,"",IF($Y36&lt;0,Y36*-1,""))</f>
      </c>
      <c r="U36" s="493">
        <f>IF(Y37&gt;0,"",IF($Y36&lt;0,"kg K2O/ha",""))</f>
      </c>
      <c r="V36" s="495"/>
      <c r="W36" s="466">
        <f>IF(Y37&gt;0,"",bilance!K41)</f>
      </c>
      <c r="X36" s="467">
        <f>IF(Y37&gt;0,"",bilance!K39)</f>
        <v>0</v>
      </c>
      <c r="Y36" s="517">
        <f>bilance!K39</f>
        <v>0</v>
      </c>
    </row>
    <row r="37" spans="1:25" ht="16.5" customHeight="1" thickBot="1">
      <c r="A37" s="450" t="s">
        <v>214</v>
      </c>
      <c r="B37" s="576"/>
      <c r="C37" s="577"/>
      <c r="D37" s="578"/>
      <c r="E37" s="451"/>
      <c r="F37" s="451"/>
      <c r="G37" s="451">
        <v>60</v>
      </c>
      <c r="H37" s="451"/>
      <c r="I37" s="451"/>
      <c r="J37" s="451"/>
      <c r="K37" s="440">
        <f aca="true" t="shared" si="14" ref="K37:P37">E37*$B37/100</f>
        <v>0</v>
      </c>
      <c r="L37" s="440">
        <f t="shared" si="14"/>
        <v>0</v>
      </c>
      <c r="M37" s="440">
        <f t="shared" si="14"/>
        <v>0</v>
      </c>
      <c r="N37" s="440">
        <f t="shared" si="14"/>
        <v>0</v>
      </c>
      <c r="O37" s="440">
        <f t="shared" si="14"/>
        <v>0</v>
      </c>
      <c r="P37" s="440">
        <f t="shared" si="14"/>
        <v>0</v>
      </c>
      <c r="R37" s="41"/>
      <c r="S37" s="497">
        <f>IF(Y37&gt;0,"",IF($Y36&lt;0,"nakoupit o",""))</f>
      </c>
      <c r="T37" s="498">
        <f>IF(Y37&gt;0,"",IF($Y36&lt;0,W36*-1,""))</f>
      </c>
      <c r="U37" s="493">
        <f>IF(Y37&gt;0,"",IF($Y36&lt;0,"t K2O více",""))</f>
      </c>
      <c r="V37" s="501"/>
      <c r="W37" s="76"/>
      <c r="X37" s="76"/>
      <c r="Y37" s="520">
        <f>bilance!O31</f>
        <v>0</v>
      </c>
    </row>
    <row r="38" spans="1:24" ht="16.5" customHeight="1">
      <c r="A38" s="450" t="s">
        <v>300</v>
      </c>
      <c r="B38" s="576"/>
      <c r="C38" s="577"/>
      <c r="D38" s="578"/>
      <c r="E38" s="451"/>
      <c r="F38" s="451"/>
      <c r="G38" s="451">
        <v>40</v>
      </c>
      <c r="H38" s="451">
        <v>6</v>
      </c>
      <c r="I38" s="451"/>
      <c r="J38" s="451">
        <v>4</v>
      </c>
      <c r="K38" s="440">
        <f aca="true" t="shared" si="15" ref="K38:K45">E38*$B38/100</f>
        <v>0</v>
      </c>
      <c r="L38" s="440">
        <f aca="true" t="shared" si="16" ref="L38:L45">F38*$B38/100</f>
        <v>0</v>
      </c>
      <c r="M38" s="440">
        <f aca="true" t="shared" si="17" ref="M38:M45">G38*$B38/100</f>
        <v>0</v>
      </c>
      <c r="N38" s="440">
        <f aca="true" t="shared" si="18" ref="N38:N45">H38*$B38/100</f>
        <v>0</v>
      </c>
      <c r="O38" s="440">
        <f aca="true" t="shared" si="19" ref="O38:O45">I38*$B38/100</f>
        <v>0</v>
      </c>
      <c r="P38" s="440">
        <f aca="true" t="shared" si="20" ref="P38:P45">J38*$B38/100</f>
        <v>0</v>
      </c>
      <c r="R38" s="580">
        <f>IF(Y37&gt;0,"Údaj o spotřebě draslíku v minerálních hnojivech z této tabulky nebude použit, protože bilance byla vypočtena z přímo vloženého údaje o spotřebě živin v předchozím listu (buňka O31)","")</f>
      </c>
      <c r="S38" s="580"/>
      <c r="T38" s="580"/>
      <c r="U38" s="580"/>
      <c r="V38" s="501"/>
      <c r="W38" s="76"/>
      <c r="X38" s="76"/>
    </row>
    <row r="39" spans="1:24" ht="16.5" customHeight="1">
      <c r="A39" s="450" t="s">
        <v>198</v>
      </c>
      <c r="B39" s="576"/>
      <c r="C39" s="577"/>
      <c r="D39" s="578"/>
      <c r="E39" s="451"/>
      <c r="F39" s="451"/>
      <c r="G39" s="451">
        <v>30</v>
      </c>
      <c r="H39" s="451">
        <v>10</v>
      </c>
      <c r="I39" s="451"/>
      <c r="J39" s="451">
        <v>17</v>
      </c>
      <c r="K39" s="440">
        <f t="shared" si="15"/>
        <v>0</v>
      </c>
      <c r="L39" s="440">
        <f t="shared" si="16"/>
        <v>0</v>
      </c>
      <c r="M39" s="440">
        <f t="shared" si="17"/>
        <v>0</v>
      </c>
      <c r="N39" s="440">
        <f t="shared" si="18"/>
        <v>0</v>
      </c>
      <c r="O39" s="440">
        <f t="shared" si="19"/>
        <v>0</v>
      </c>
      <c r="P39" s="440">
        <f t="shared" si="20"/>
        <v>0</v>
      </c>
      <c r="R39" s="580"/>
      <c r="S39" s="580"/>
      <c r="T39" s="580"/>
      <c r="U39" s="580"/>
      <c r="V39" s="501"/>
      <c r="W39" s="76"/>
      <c r="X39" s="76"/>
    </row>
    <row r="40" spans="1:22" ht="16.5" customHeight="1">
      <c r="A40" s="450" t="s">
        <v>199</v>
      </c>
      <c r="B40" s="576"/>
      <c r="C40" s="577"/>
      <c r="D40" s="578"/>
      <c r="E40" s="451"/>
      <c r="F40" s="451"/>
      <c r="G40" s="451">
        <v>11</v>
      </c>
      <c r="H40" s="451">
        <v>5</v>
      </c>
      <c r="I40" s="451"/>
      <c r="J40" s="451">
        <v>4</v>
      </c>
      <c r="K40" s="440">
        <f t="shared" si="15"/>
        <v>0</v>
      </c>
      <c r="L40" s="440">
        <f t="shared" si="16"/>
        <v>0</v>
      </c>
      <c r="M40" s="440">
        <f t="shared" si="17"/>
        <v>0</v>
      </c>
      <c r="N40" s="440">
        <f t="shared" si="18"/>
        <v>0</v>
      </c>
      <c r="O40" s="440">
        <f t="shared" si="19"/>
        <v>0</v>
      </c>
      <c r="P40" s="440">
        <f t="shared" si="20"/>
        <v>0</v>
      </c>
      <c r="R40" s="580"/>
      <c r="S40" s="580"/>
      <c r="T40" s="580"/>
      <c r="U40" s="580"/>
      <c r="V40" s="499"/>
    </row>
    <row r="41" spans="1:22" ht="16.5" customHeight="1">
      <c r="A41" s="450" t="s">
        <v>225</v>
      </c>
      <c r="B41" s="576"/>
      <c r="C41" s="577"/>
      <c r="D41" s="578"/>
      <c r="E41" s="451"/>
      <c r="F41" s="451"/>
      <c r="G41" s="451">
        <v>50</v>
      </c>
      <c r="H41" s="451"/>
      <c r="I41" s="451"/>
      <c r="J41" s="451">
        <v>18.4</v>
      </c>
      <c r="K41" s="440">
        <f t="shared" si="15"/>
        <v>0</v>
      </c>
      <c r="L41" s="440">
        <f t="shared" si="16"/>
        <v>0</v>
      </c>
      <c r="M41" s="440">
        <f t="shared" si="17"/>
        <v>0</v>
      </c>
      <c r="N41" s="440">
        <f t="shared" si="18"/>
        <v>0</v>
      </c>
      <c r="O41" s="440">
        <f t="shared" si="19"/>
        <v>0</v>
      </c>
      <c r="P41" s="440">
        <f t="shared" si="20"/>
        <v>0</v>
      </c>
      <c r="R41" s="580"/>
      <c r="S41" s="580"/>
      <c r="T41" s="580"/>
      <c r="U41" s="580"/>
      <c r="V41" s="499"/>
    </row>
    <row r="42" spans="1:22" ht="16.5" customHeight="1">
      <c r="A42" s="452" t="s">
        <v>277</v>
      </c>
      <c r="B42" s="576"/>
      <c r="C42" s="577"/>
      <c r="D42" s="578"/>
      <c r="E42" s="451"/>
      <c r="F42" s="451"/>
      <c r="G42" s="451"/>
      <c r="H42" s="451"/>
      <c r="I42" s="451"/>
      <c r="J42" s="451"/>
      <c r="K42" s="440">
        <f t="shared" si="15"/>
        <v>0</v>
      </c>
      <c r="L42" s="440">
        <f t="shared" si="16"/>
        <v>0</v>
      </c>
      <c r="M42" s="440">
        <f t="shared" si="17"/>
        <v>0</v>
      </c>
      <c r="N42" s="440">
        <f t="shared" si="18"/>
        <v>0</v>
      </c>
      <c r="O42" s="440">
        <f t="shared" si="19"/>
        <v>0</v>
      </c>
      <c r="P42" s="440">
        <f t="shared" si="20"/>
        <v>0</v>
      </c>
      <c r="R42" s="580"/>
      <c r="S42" s="580"/>
      <c r="T42" s="580"/>
      <c r="U42" s="580"/>
      <c r="V42" s="499"/>
    </row>
    <row r="43" spans="1:22" ht="16.5" customHeight="1">
      <c r="A43" s="432"/>
      <c r="B43" s="576"/>
      <c r="C43" s="577"/>
      <c r="D43" s="578"/>
      <c r="E43" s="433"/>
      <c r="F43" s="433"/>
      <c r="G43" s="433"/>
      <c r="H43" s="433"/>
      <c r="I43" s="433"/>
      <c r="J43" s="433"/>
      <c r="K43" s="440">
        <f t="shared" si="15"/>
        <v>0</v>
      </c>
      <c r="L43" s="440">
        <f t="shared" si="16"/>
        <v>0</v>
      </c>
      <c r="M43" s="440">
        <f t="shared" si="17"/>
        <v>0</v>
      </c>
      <c r="N43" s="440">
        <f t="shared" si="18"/>
        <v>0</v>
      </c>
      <c r="O43" s="440">
        <f t="shared" si="19"/>
        <v>0</v>
      </c>
      <c r="P43" s="440">
        <f t="shared" si="20"/>
        <v>0</v>
      </c>
      <c r="R43" s="41"/>
      <c r="S43" s="41"/>
      <c r="T43" s="41"/>
      <c r="U43" s="41"/>
      <c r="V43" s="499"/>
    </row>
    <row r="44" spans="1:22" ht="16.5" customHeight="1">
      <c r="A44" s="432"/>
      <c r="B44" s="576"/>
      <c r="C44" s="577"/>
      <c r="D44" s="578"/>
      <c r="E44" s="433"/>
      <c r="F44" s="433"/>
      <c r="G44" s="433"/>
      <c r="H44" s="433"/>
      <c r="I44" s="433"/>
      <c r="J44" s="433"/>
      <c r="K44" s="440">
        <f t="shared" si="15"/>
        <v>0</v>
      </c>
      <c r="L44" s="440">
        <f t="shared" si="16"/>
        <v>0</v>
      </c>
      <c r="M44" s="440">
        <f t="shared" si="17"/>
        <v>0</v>
      </c>
      <c r="N44" s="440">
        <f t="shared" si="18"/>
        <v>0</v>
      </c>
      <c r="O44" s="440">
        <f t="shared" si="19"/>
        <v>0</v>
      </c>
      <c r="P44" s="440">
        <f t="shared" si="20"/>
        <v>0</v>
      </c>
      <c r="R44" s="41"/>
      <c r="S44" s="41"/>
      <c r="T44" s="41"/>
      <c r="U44" s="41"/>
      <c r="V44" s="499"/>
    </row>
    <row r="45" spans="1:22" ht="16.5" customHeight="1">
      <c r="A45" s="432"/>
      <c r="B45" s="576"/>
      <c r="C45" s="577"/>
      <c r="D45" s="578"/>
      <c r="E45" s="433"/>
      <c r="F45" s="433"/>
      <c r="G45" s="433"/>
      <c r="H45" s="433"/>
      <c r="I45" s="433"/>
      <c r="J45" s="433"/>
      <c r="K45" s="440">
        <f t="shared" si="15"/>
        <v>0</v>
      </c>
      <c r="L45" s="440">
        <f t="shared" si="16"/>
        <v>0</v>
      </c>
      <c r="M45" s="440">
        <f t="shared" si="17"/>
        <v>0</v>
      </c>
      <c r="N45" s="440">
        <f t="shared" si="18"/>
        <v>0</v>
      </c>
      <c r="O45" s="440">
        <f t="shared" si="19"/>
        <v>0</v>
      </c>
      <c r="P45" s="440">
        <f t="shared" si="20"/>
        <v>0</v>
      </c>
      <c r="R45" s="41"/>
      <c r="S45" s="41"/>
      <c r="T45" s="41"/>
      <c r="U45" s="41"/>
      <c r="V45" s="499"/>
    </row>
    <row r="46" spans="1:22" ht="16.5" customHeight="1">
      <c r="A46" s="476" t="s">
        <v>215</v>
      </c>
      <c r="B46" s="595"/>
      <c r="C46" s="595"/>
      <c r="D46" s="595"/>
      <c r="E46" s="477"/>
      <c r="F46" s="477"/>
      <c r="G46" s="477"/>
      <c r="H46" s="477"/>
      <c r="I46" s="477"/>
      <c r="J46" s="478"/>
      <c r="K46" s="455"/>
      <c r="L46" s="455"/>
      <c r="M46" s="455"/>
      <c r="N46" s="455"/>
      <c r="O46" s="455"/>
      <c r="P46" s="455"/>
      <c r="R46" s="41"/>
      <c r="S46" s="41"/>
      <c r="T46" s="41"/>
      <c r="U46" s="41"/>
      <c r="V46" s="499"/>
    </row>
    <row r="47" spans="1:22" ht="16.5" customHeight="1">
      <c r="A47" s="450" t="s">
        <v>302</v>
      </c>
      <c r="B47" s="576"/>
      <c r="C47" s="577"/>
      <c r="D47" s="578"/>
      <c r="E47" s="451"/>
      <c r="F47" s="451"/>
      <c r="G47" s="451"/>
      <c r="H47" s="451">
        <v>27</v>
      </c>
      <c r="I47" s="451"/>
      <c r="J47" s="451">
        <v>22</v>
      </c>
      <c r="K47" s="440">
        <f aca="true" t="shared" si="21" ref="K47:P47">E47*$B47/100</f>
        <v>0</v>
      </c>
      <c r="L47" s="440">
        <f t="shared" si="21"/>
        <v>0</v>
      </c>
      <c r="M47" s="440">
        <f t="shared" si="21"/>
        <v>0</v>
      </c>
      <c r="N47" s="440">
        <f t="shared" si="21"/>
        <v>0</v>
      </c>
      <c r="O47" s="440">
        <f t="shared" si="21"/>
        <v>0</v>
      </c>
      <c r="P47" s="440">
        <f t="shared" si="21"/>
        <v>0</v>
      </c>
      <c r="R47" s="41"/>
      <c r="S47" s="41"/>
      <c r="T47" s="41"/>
      <c r="U47" s="41"/>
      <c r="V47" s="499"/>
    </row>
    <row r="48" spans="1:22" ht="16.5" customHeight="1">
      <c r="A48" s="450" t="s">
        <v>301</v>
      </c>
      <c r="B48" s="576"/>
      <c r="C48" s="577"/>
      <c r="D48" s="578"/>
      <c r="E48" s="451"/>
      <c r="F48" s="451"/>
      <c r="G48" s="451"/>
      <c r="H48" s="451">
        <v>25</v>
      </c>
      <c r="I48" s="451"/>
      <c r="J48" s="451">
        <v>21</v>
      </c>
      <c r="K48" s="440">
        <f aca="true" t="shared" si="22" ref="K48:K54">E48*$B48/100</f>
        <v>0</v>
      </c>
      <c r="L48" s="440">
        <f aca="true" t="shared" si="23" ref="L48:L54">F48*$B48/100</f>
        <v>0</v>
      </c>
      <c r="M48" s="440">
        <f aca="true" t="shared" si="24" ref="M48:M54">G48*$B48/100</f>
        <v>0</v>
      </c>
      <c r="N48" s="440">
        <f aca="true" t="shared" si="25" ref="N48:N54">H48*$B48/100</f>
        <v>0</v>
      </c>
      <c r="O48" s="440">
        <f aca="true" t="shared" si="26" ref="O48:O54">I48*$B48/100</f>
        <v>0</v>
      </c>
      <c r="P48" s="440">
        <f aca="true" t="shared" si="27" ref="P48:P54">J48*$B48/100</f>
        <v>0</v>
      </c>
      <c r="R48" s="41"/>
      <c r="S48" s="41"/>
      <c r="T48" s="41"/>
      <c r="U48" s="41"/>
      <c r="V48" s="499"/>
    </row>
    <row r="49" spans="1:22" ht="16.5" customHeight="1">
      <c r="A49" s="450" t="s">
        <v>303</v>
      </c>
      <c r="B49" s="576"/>
      <c r="C49" s="577"/>
      <c r="D49" s="578"/>
      <c r="E49" s="451"/>
      <c r="F49" s="451"/>
      <c r="G49" s="451"/>
      <c r="H49" s="451">
        <v>16</v>
      </c>
      <c r="I49" s="451"/>
      <c r="J49" s="451">
        <v>13</v>
      </c>
      <c r="K49" s="440">
        <f t="shared" si="22"/>
        <v>0</v>
      </c>
      <c r="L49" s="440">
        <f t="shared" si="23"/>
        <v>0</v>
      </c>
      <c r="M49" s="440">
        <f t="shared" si="24"/>
        <v>0</v>
      </c>
      <c r="N49" s="440">
        <f t="shared" si="25"/>
        <v>0</v>
      </c>
      <c r="O49" s="440">
        <f t="shared" si="26"/>
        <v>0</v>
      </c>
      <c r="P49" s="440">
        <f t="shared" si="27"/>
        <v>0</v>
      </c>
      <c r="R49" s="41"/>
      <c r="S49" s="41"/>
      <c r="T49" s="41"/>
      <c r="U49" s="41"/>
      <c r="V49" s="499"/>
    </row>
    <row r="50" spans="1:16" ht="16.5" customHeight="1">
      <c r="A50" s="450" t="s">
        <v>200</v>
      </c>
      <c r="B50" s="576"/>
      <c r="C50" s="577"/>
      <c r="D50" s="578"/>
      <c r="E50" s="451"/>
      <c r="F50" s="451"/>
      <c r="G50" s="451"/>
      <c r="H50" s="451">
        <v>16</v>
      </c>
      <c r="I50" s="451"/>
      <c r="J50" s="451">
        <v>13</v>
      </c>
      <c r="K50" s="440">
        <f t="shared" si="22"/>
        <v>0</v>
      </c>
      <c r="L50" s="440">
        <f t="shared" si="23"/>
        <v>0</v>
      </c>
      <c r="M50" s="440">
        <f t="shared" si="24"/>
        <v>0</v>
      </c>
      <c r="N50" s="440">
        <f t="shared" si="25"/>
        <v>0</v>
      </c>
      <c r="O50" s="440">
        <f t="shared" si="26"/>
        <v>0</v>
      </c>
      <c r="P50" s="440">
        <f t="shared" si="27"/>
        <v>0</v>
      </c>
    </row>
    <row r="51" spans="1:16" ht="16.5" customHeight="1">
      <c r="A51" s="450" t="s">
        <v>201</v>
      </c>
      <c r="B51" s="576"/>
      <c r="C51" s="577"/>
      <c r="D51" s="578"/>
      <c r="E51" s="451"/>
      <c r="F51" s="451"/>
      <c r="G51" s="451"/>
      <c r="H51" s="451">
        <v>30</v>
      </c>
      <c r="I51" s="451">
        <v>60</v>
      </c>
      <c r="J51" s="451"/>
      <c r="K51" s="440">
        <f t="shared" si="22"/>
        <v>0</v>
      </c>
      <c r="L51" s="440">
        <f t="shared" si="23"/>
        <v>0</v>
      </c>
      <c r="M51" s="440">
        <f t="shared" si="24"/>
        <v>0</v>
      </c>
      <c r="N51" s="440">
        <f t="shared" si="25"/>
        <v>0</v>
      </c>
      <c r="O51" s="440">
        <f t="shared" si="26"/>
        <v>0</v>
      </c>
      <c r="P51" s="440">
        <f t="shared" si="27"/>
        <v>0</v>
      </c>
    </row>
    <row r="52" spans="1:16" ht="16.5" customHeight="1">
      <c r="A52" s="452" t="s">
        <v>277</v>
      </c>
      <c r="B52" s="576"/>
      <c r="C52" s="577"/>
      <c r="D52" s="578"/>
      <c r="E52" s="451"/>
      <c r="F52" s="451"/>
      <c r="G52" s="451"/>
      <c r="H52" s="451"/>
      <c r="I52" s="451"/>
      <c r="J52" s="451"/>
      <c r="K52" s="440">
        <f t="shared" si="22"/>
        <v>0</v>
      </c>
      <c r="L52" s="440">
        <f t="shared" si="23"/>
        <v>0</v>
      </c>
      <c r="M52" s="440">
        <f t="shared" si="24"/>
        <v>0</v>
      </c>
      <c r="N52" s="440">
        <f t="shared" si="25"/>
        <v>0</v>
      </c>
      <c r="O52" s="440">
        <f t="shared" si="26"/>
        <v>0</v>
      </c>
      <c r="P52" s="440">
        <f t="shared" si="27"/>
        <v>0</v>
      </c>
    </row>
    <row r="53" spans="1:16" ht="16.5" customHeight="1">
      <c r="A53" s="432"/>
      <c r="B53" s="576"/>
      <c r="C53" s="577"/>
      <c r="D53" s="578"/>
      <c r="E53" s="433"/>
      <c r="F53" s="433"/>
      <c r="G53" s="433"/>
      <c r="H53" s="433"/>
      <c r="I53" s="433"/>
      <c r="J53" s="433"/>
      <c r="K53" s="440">
        <f t="shared" si="22"/>
        <v>0</v>
      </c>
      <c r="L53" s="440">
        <f t="shared" si="23"/>
        <v>0</v>
      </c>
      <c r="M53" s="440">
        <f t="shared" si="24"/>
        <v>0</v>
      </c>
      <c r="N53" s="440">
        <f t="shared" si="25"/>
        <v>0</v>
      </c>
      <c r="O53" s="440">
        <f t="shared" si="26"/>
        <v>0</v>
      </c>
      <c r="P53" s="440">
        <f t="shared" si="27"/>
        <v>0</v>
      </c>
    </row>
    <row r="54" spans="1:16" ht="16.5" customHeight="1">
      <c r="A54" s="432"/>
      <c r="B54" s="576"/>
      <c r="C54" s="577"/>
      <c r="D54" s="578"/>
      <c r="E54" s="433"/>
      <c r="F54" s="433"/>
      <c r="G54" s="433"/>
      <c r="H54" s="433"/>
      <c r="I54" s="433"/>
      <c r="J54" s="433"/>
      <c r="K54" s="440">
        <f t="shared" si="22"/>
        <v>0</v>
      </c>
      <c r="L54" s="440">
        <f t="shared" si="23"/>
        <v>0</v>
      </c>
      <c r="M54" s="440">
        <f t="shared" si="24"/>
        <v>0</v>
      </c>
      <c r="N54" s="440">
        <f t="shared" si="25"/>
        <v>0</v>
      </c>
      <c r="O54" s="440">
        <f t="shared" si="26"/>
        <v>0</v>
      </c>
      <c r="P54" s="440">
        <f t="shared" si="27"/>
        <v>0</v>
      </c>
    </row>
    <row r="55" spans="1:16" ht="16.5" customHeight="1">
      <c r="A55" s="476" t="s">
        <v>216</v>
      </c>
      <c r="B55" s="595"/>
      <c r="C55" s="595"/>
      <c r="D55" s="595"/>
      <c r="E55" s="477"/>
      <c r="F55" s="477"/>
      <c r="G55" s="477"/>
      <c r="H55" s="477"/>
      <c r="I55" s="477"/>
      <c r="J55" s="478"/>
      <c r="K55" s="455"/>
      <c r="L55" s="455"/>
      <c r="M55" s="455"/>
      <c r="N55" s="455"/>
      <c r="O55" s="455"/>
      <c r="P55" s="455"/>
    </row>
    <row r="56" spans="1:16" ht="16.5" customHeight="1">
      <c r="A56" s="450" t="s">
        <v>256</v>
      </c>
      <c r="B56" s="576"/>
      <c r="C56" s="577"/>
      <c r="D56" s="578"/>
      <c r="E56" s="451"/>
      <c r="F56" s="451"/>
      <c r="G56" s="451"/>
      <c r="H56" s="451"/>
      <c r="I56" s="451">
        <v>85</v>
      </c>
      <c r="J56" s="451">
        <v>5</v>
      </c>
      <c r="K56" s="440">
        <f aca="true" t="shared" si="28" ref="K56:P61">E56*$B56/100</f>
        <v>0</v>
      </c>
      <c r="L56" s="440">
        <f t="shared" si="28"/>
        <v>0</v>
      </c>
      <c r="M56" s="440">
        <f t="shared" si="28"/>
        <v>0</v>
      </c>
      <c r="N56" s="440">
        <f t="shared" si="28"/>
        <v>0</v>
      </c>
      <c r="O56" s="440">
        <f t="shared" si="28"/>
        <v>0</v>
      </c>
      <c r="P56" s="440">
        <f t="shared" si="28"/>
        <v>0</v>
      </c>
    </row>
    <row r="57" spans="1:16" ht="16.5" customHeight="1">
      <c r="A57" s="450" t="s">
        <v>257</v>
      </c>
      <c r="B57" s="576"/>
      <c r="C57" s="577"/>
      <c r="D57" s="578"/>
      <c r="E57" s="451"/>
      <c r="F57" s="451"/>
      <c r="G57" s="451"/>
      <c r="H57" s="451">
        <v>10</v>
      </c>
      <c r="I57" s="451">
        <v>65</v>
      </c>
      <c r="J57" s="451"/>
      <c r="K57" s="440">
        <f t="shared" si="28"/>
        <v>0</v>
      </c>
      <c r="L57" s="440">
        <f t="shared" si="28"/>
        <v>0</v>
      </c>
      <c r="M57" s="440">
        <f t="shared" si="28"/>
        <v>0</v>
      </c>
      <c r="N57" s="440">
        <f t="shared" si="28"/>
        <v>0</v>
      </c>
      <c r="O57" s="440">
        <f t="shared" si="28"/>
        <v>0</v>
      </c>
      <c r="P57" s="440">
        <f t="shared" si="28"/>
        <v>0</v>
      </c>
    </row>
    <row r="58" spans="1:16" ht="16.5" customHeight="1">
      <c r="A58" s="450" t="s">
        <v>258</v>
      </c>
      <c r="B58" s="576"/>
      <c r="C58" s="577"/>
      <c r="D58" s="578"/>
      <c r="E58" s="451"/>
      <c r="F58" s="451"/>
      <c r="G58" s="451"/>
      <c r="H58" s="451">
        <v>40</v>
      </c>
      <c r="I58" s="451">
        <v>55</v>
      </c>
      <c r="J58" s="451"/>
      <c r="K58" s="440">
        <f t="shared" si="28"/>
        <v>0</v>
      </c>
      <c r="L58" s="440">
        <f t="shared" si="28"/>
        <v>0</v>
      </c>
      <c r="M58" s="440">
        <f t="shared" si="28"/>
        <v>0</v>
      </c>
      <c r="N58" s="440">
        <f t="shared" si="28"/>
        <v>0</v>
      </c>
      <c r="O58" s="440">
        <f t="shared" si="28"/>
        <v>0</v>
      </c>
      <c r="P58" s="440">
        <f t="shared" si="28"/>
        <v>0</v>
      </c>
    </row>
    <row r="59" spans="1:16" ht="16.5" customHeight="1">
      <c r="A59" s="452" t="s">
        <v>277</v>
      </c>
      <c r="B59" s="576"/>
      <c r="C59" s="577"/>
      <c r="D59" s="578"/>
      <c r="E59" s="451"/>
      <c r="F59" s="451"/>
      <c r="G59" s="451"/>
      <c r="H59" s="451"/>
      <c r="I59" s="451"/>
      <c r="J59" s="451"/>
      <c r="K59" s="440">
        <f t="shared" si="28"/>
        <v>0</v>
      </c>
      <c r="L59" s="440">
        <f t="shared" si="28"/>
        <v>0</v>
      </c>
      <c r="M59" s="440">
        <f t="shared" si="28"/>
        <v>0</v>
      </c>
      <c r="N59" s="440">
        <f t="shared" si="28"/>
        <v>0</v>
      </c>
      <c r="O59" s="440">
        <f t="shared" si="28"/>
        <v>0</v>
      </c>
      <c r="P59" s="440">
        <f t="shared" si="28"/>
        <v>0</v>
      </c>
    </row>
    <row r="60" spans="1:16" ht="16.5" customHeight="1">
      <c r="A60" s="432"/>
      <c r="B60" s="576"/>
      <c r="C60" s="577"/>
      <c r="D60" s="578"/>
      <c r="E60" s="433"/>
      <c r="F60" s="433"/>
      <c r="G60" s="433"/>
      <c r="H60" s="433"/>
      <c r="I60" s="433"/>
      <c r="J60" s="433"/>
      <c r="K60" s="440">
        <f t="shared" si="28"/>
        <v>0</v>
      </c>
      <c r="L60" s="440">
        <f t="shared" si="28"/>
        <v>0</v>
      </c>
      <c r="M60" s="440">
        <f t="shared" si="28"/>
        <v>0</v>
      </c>
      <c r="N60" s="440">
        <f t="shared" si="28"/>
        <v>0</v>
      </c>
      <c r="O60" s="440">
        <f t="shared" si="28"/>
        <v>0</v>
      </c>
      <c r="P60" s="440">
        <f t="shared" si="28"/>
        <v>0</v>
      </c>
    </row>
    <row r="61" spans="1:16" ht="16.5" customHeight="1">
      <c r="A61" s="432"/>
      <c r="B61" s="576"/>
      <c r="C61" s="577"/>
      <c r="D61" s="578"/>
      <c r="E61" s="431"/>
      <c r="F61" s="431"/>
      <c r="G61" s="431"/>
      <c r="H61" s="431"/>
      <c r="I61" s="431"/>
      <c r="J61" s="431"/>
      <c r="K61" s="440">
        <f t="shared" si="28"/>
        <v>0</v>
      </c>
      <c r="L61" s="440">
        <f t="shared" si="28"/>
        <v>0</v>
      </c>
      <c r="M61" s="440">
        <f t="shared" si="28"/>
        <v>0</v>
      </c>
      <c r="N61" s="440">
        <f t="shared" si="28"/>
        <v>0</v>
      </c>
      <c r="O61" s="440">
        <f t="shared" si="28"/>
        <v>0</v>
      </c>
      <c r="P61" s="440">
        <f t="shared" si="28"/>
        <v>0</v>
      </c>
    </row>
    <row r="62" spans="1:16" ht="16.5" customHeight="1">
      <c r="A62" s="476" t="s">
        <v>217</v>
      </c>
      <c r="B62" s="579"/>
      <c r="C62" s="579"/>
      <c r="D62" s="579"/>
      <c r="E62" s="477"/>
      <c r="F62" s="477"/>
      <c r="G62" s="477"/>
      <c r="H62" s="477"/>
      <c r="I62" s="477"/>
      <c r="J62" s="478"/>
      <c r="K62" s="455"/>
      <c r="L62" s="455"/>
      <c r="M62" s="455"/>
      <c r="N62" s="455"/>
      <c r="O62" s="455"/>
      <c r="P62" s="455"/>
    </row>
    <row r="63" spans="1:24" ht="16.5" customHeight="1">
      <c r="A63" s="450" t="s">
        <v>239</v>
      </c>
      <c r="B63" s="576"/>
      <c r="C63" s="577"/>
      <c r="D63" s="578"/>
      <c r="E63" s="451">
        <v>15</v>
      </c>
      <c r="F63" s="451">
        <v>15</v>
      </c>
      <c r="G63" s="451">
        <v>15</v>
      </c>
      <c r="H63" s="451"/>
      <c r="I63" s="451"/>
      <c r="J63" s="451">
        <v>5</v>
      </c>
      <c r="K63" s="440">
        <f aca="true" t="shared" si="29" ref="K63:P63">E63*$B63/100</f>
        <v>0</v>
      </c>
      <c r="L63" s="440">
        <f t="shared" si="29"/>
        <v>0</v>
      </c>
      <c r="M63" s="440">
        <f t="shared" si="29"/>
        <v>0</v>
      </c>
      <c r="N63" s="440">
        <f t="shared" si="29"/>
        <v>0</v>
      </c>
      <c r="O63" s="440">
        <f t="shared" si="29"/>
        <v>0</v>
      </c>
      <c r="P63" s="440">
        <f t="shared" si="29"/>
        <v>0</v>
      </c>
      <c r="R63" s="596"/>
      <c r="S63" s="596"/>
      <c r="T63" s="596"/>
      <c r="U63" s="596"/>
      <c r="V63" s="596"/>
      <c r="W63" s="596"/>
      <c r="X63" s="596"/>
    </row>
    <row r="64" spans="1:24" ht="16.5" customHeight="1">
      <c r="A64" s="450" t="s">
        <v>240</v>
      </c>
      <c r="B64" s="576"/>
      <c r="C64" s="577"/>
      <c r="D64" s="578"/>
      <c r="E64" s="451">
        <v>16</v>
      </c>
      <c r="F64" s="451">
        <v>16</v>
      </c>
      <c r="G64" s="451">
        <v>16</v>
      </c>
      <c r="H64" s="451"/>
      <c r="I64" s="451"/>
      <c r="J64" s="451"/>
      <c r="K64" s="440">
        <f aca="true" t="shared" si="30" ref="K64:K85">E64*$B64/100</f>
        <v>0</v>
      </c>
      <c r="L64" s="440">
        <f aca="true" t="shared" si="31" ref="L64:L85">F64*$B64/100</f>
        <v>0</v>
      </c>
      <c r="M64" s="440">
        <f aca="true" t="shared" si="32" ref="M64:M85">G64*$B64/100</f>
        <v>0</v>
      </c>
      <c r="N64" s="440">
        <f aca="true" t="shared" si="33" ref="N64:N85">H64*$B64/100</f>
        <v>0</v>
      </c>
      <c r="O64" s="440">
        <f aca="true" t="shared" si="34" ref="O64:O85">I64*$B64/100</f>
        <v>0</v>
      </c>
      <c r="P64" s="440">
        <f aca="true" t="shared" si="35" ref="P64:P85">J64*$B64/100</f>
        <v>0</v>
      </c>
      <c r="R64" s="596"/>
      <c r="S64" s="596"/>
      <c r="T64" s="596"/>
      <c r="U64" s="596"/>
      <c r="V64" s="596"/>
      <c r="W64" s="596"/>
      <c r="X64" s="596"/>
    </row>
    <row r="65" spans="1:24" ht="16.5" customHeight="1">
      <c r="A65" s="450" t="s">
        <v>202</v>
      </c>
      <c r="B65" s="576"/>
      <c r="C65" s="577"/>
      <c r="D65" s="578"/>
      <c r="E65" s="451">
        <v>13</v>
      </c>
      <c r="F65" s="451">
        <v>9</v>
      </c>
      <c r="G65" s="451">
        <v>16</v>
      </c>
      <c r="H65" s="451">
        <v>4</v>
      </c>
      <c r="I65" s="451"/>
      <c r="J65" s="451"/>
      <c r="K65" s="440">
        <f t="shared" si="30"/>
        <v>0</v>
      </c>
      <c r="L65" s="440">
        <f t="shared" si="31"/>
        <v>0</v>
      </c>
      <c r="M65" s="440">
        <f t="shared" si="32"/>
        <v>0</v>
      </c>
      <c r="N65" s="440">
        <f t="shared" si="33"/>
        <v>0</v>
      </c>
      <c r="O65" s="440">
        <f t="shared" si="34"/>
        <v>0</v>
      </c>
      <c r="P65" s="440">
        <f t="shared" si="35"/>
        <v>0</v>
      </c>
      <c r="R65" s="596"/>
      <c r="S65" s="596"/>
      <c r="T65" s="596"/>
      <c r="U65" s="596"/>
      <c r="V65" s="596"/>
      <c r="W65" s="596"/>
      <c r="X65" s="596"/>
    </row>
    <row r="66" spans="1:16" ht="16.5" customHeight="1">
      <c r="A66" s="450" t="s">
        <v>241</v>
      </c>
      <c r="B66" s="576"/>
      <c r="C66" s="577"/>
      <c r="D66" s="578"/>
      <c r="E66" s="451">
        <v>14</v>
      </c>
      <c r="F66" s="451">
        <v>10</v>
      </c>
      <c r="G66" s="451">
        <v>16</v>
      </c>
      <c r="H66" s="451"/>
      <c r="I66" s="449"/>
      <c r="J66" s="451">
        <v>5</v>
      </c>
      <c r="K66" s="440">
        <f t="shared" si="30"/>
        <v>0</v>
      </c>
      <c r="L66" s="440">
        <f t="shared" si="31"/>
        <v>0</v>
      </c>
      <c r="M66" s="440">
        <f t="shared" si="32"/>
        <v>0</v>
      </c>
      <c r="N66" s="440">
        <f t="shared" si="33"/>
        <v>0</v>
      </c>
      <c r="O66" s="440">
        <f t="shared" si="34"/>
        <v>0</v>
      </c>
      <c r="P66" s="440">
        <f t="shared" si="35"/>
        <v>0</v>
      </c>
    </row>
    <row r="67" spans="1:16" ht="16.5" customHeight="1">
      <c r="A67" s="450" t="s">
        <v>242</v>
      </c>
      <c r="B67" s="576"/>
      <c r="C67" s="577"/>
      <c r="D67" s="578"/>
      <c r="E67" s="451">
        <v>12</v>
      </c>
      <c r="F67" s="451">
        <v>7</v>
      </c>
      <c r="G67" s="451">
        <v>16</v>
      </c>
      <c r="H67" s="451"/>
      <c r="I67" s="451"/>
      <c r="J67" s="451">
        <v>4</v>
      </c>
      <c r="K67" s="440">
        <f t="shared" si="30"/>
        <v>0</v>
      </c>
      <c r="L67" s="440">
        <f t="shared" si="31"/>
        <v>0</v>
      </c>
      <c r="M67" s="440">
        <f t="shared" si="32"/>
        <v>0</v>
      </c>
      <c r="N67" s="440">
        <f t="shared" si="33"/>
        <v>0</v>
      </c>
      <c r="O67" s="440">
        <f t="shared" si="34"/>
        <v>0</v>
      </c>
      <c r="P67" s="440">
        <f t="shared" si="35"/>
        <v>0</v>
      </c>
    </row>
    <row r="68" spans="1:16" ht="16.5" customHeight="1">
      <c r="A68" s="450" t="s">
        <v>203</v>
      </c>
      <c r="B68" s="576"/>
      <c r="C68" s="577"/>
      <c r="D68" s="578"/>
      <c r="E68" s="451">
        <v>7</v>
      </c>
      <c r="F68" s="451">
        <v>20</v>
      </c>
      <c r="G68" s="451">
        <v>28</v>
      </c>
      <c r="H68" s="451">
        <v>2</v>
      </c>
      <c r="I68" s="451"/>
      <c r="J68" s="451">
        <v>3</v>
      </c>
      <c r="K68" s="440">
        <f t="shared" si="30"/>
        <v>0</v>
      </c>
      <c r="L68" s="440">
        <f t="shared" si="31"/>
        <v>0</v>
      </c>
      <c r="M68" s="440">
        <f t="shared" si="32"/>
        <v>0</v>
      </c>
      <c r="N68" s="440">
        <f t="shared" si="33"/>
        <v>0</v>
      </c>
      <c r="O68" s="440">
        <f t="shared" si="34"/>
        <v>0</v>
      </c>
      <c r="P68" s="440">
        <f t="shared" si="35"/>
        <v>0</v>
      </c>
    </row>
    <row r="69" spans="1:16" ht="16.5" customHeight="1">
      <c r="A69" s="450" t="s">
        <v>244</v>
      </c>
      <c r="B69" s="576"/>
      <c r="C69" s="577"/>
      <c r="D69" s="578"/>
      <c r="E69" s="451">
        <v>9</v>
      </c>
      <c r="F69" s="451">
        <v>12</v>
      </c>
      <c r="G69" s="451">
        <v>25</v>
      </c>
      <c r="H69" s="451"/>
      <c r="I69" s="451"/>
      <c r="J69" s="451">
        <v>2.6</v>
      </c>
      <c r="K69" s="440">
        <f t="shared" si="30"/>
        <v>0</v>
      </c>
      <c r="L69" s="440">
        <f t="shared" si="31"/>
        <v>0</v>
      </c>
      <c r="M69" s="440">
        <f t="shared" si="32"/>
        <v>0</v>
      </c>
      <c r="N69" s="440">
        <f t="shared" si="33"/>
        <v>0</v>
      </c>
      <c r="O69" s="440">
        <f t="shared" si="34"/>
        <v>0</v>
      </c>
      <c r="P69" s="440">
        <f t="shared" si="35"/>
        <v>0</v>
      </c>
    </row>
    <row r="70" spans="1:16" ht="16.5" customHeight="1">
      <c r="A70" s="450" t="s">
        <v>243</v>
      </c>
      <c r="B70" s="576"/>
      <c r="C70" s="577"/>
      <c r="D70" s="578"/>
      <c r="E70" s="451">
        <v>8</v>
      </c>
      <c r="F70" s="451">
        <v>24</v>
      </c>
      <c r="G70" s="451">
        <v>24</v>
      </c>
      <c r="H70" s="451"/>
      <c r="I70" s="451"/>
      <c r="J70" s="451">
        <v>4</v>
      </c>
      <c r="K70" s="440">
        <f t="shared" si="30"/>
        <v>0</v>
      </c>
      <c r="L70" s="440">
        <f t="shared" si="31"/>
        <v>0</v>
      </c>
      <c r="M70" s="440">
        <f t="shared" si="32"/>
        <v>0</v>
      </c>
      <c r="N70" s="440">
        <f t="shared" si="33"/>
        <v>0</v>
      </c>
      <c r="O70" s="440">
        <f t="shared" si="34"/>
        <v>0</v>
      </c>
      <c r="P70" s="440">
        <f t="shared" si="35"/>
        <v>0</v>
      </c>
    </row>
    <row r="71" spans="1:16" ht="16.5" customHeight="1">
      <c r="A71" s="450" t="s">
        <v>245</v>
      </c>
      <c r="B71" s="576"/>
      <c r="C71" s="577"/>
      <c r="D71" s="578"/>
      <c r="E71" s="451">
        <v>9</v>
      </c>
      <c r="F71" s="451">
        <v>25</v>
      </c>
      <c r="G71" s="451">
        <v>25</v>
      </c>
      <c r="H71" s="451"/>
      <c r="I71" s="451">
        <v>12</v>
      </c>
      <c r="J71" s="451"/>
      <c r="K71" s="440">
        <f t="shared" si="30"/>
        <v>0</v>
      </c>
      <c r="L71" s="440">
        <f t="shared" si="31"/>
        <v>0</v>
      </c>
      <c r="M71" s="440">
        <f t="shared" si="32"/>
        <v>0</v>
      </c>
      <c r="N71" s="440">
        <f t="shared" si="33"/>
        <v>0</v>
      </c>
      <c r="O71" s="440">
        <f t="shared" si="34"/>
        <v>0</v>
      </c>
      <c r="P71" s="440">
        <f t="shared" si="35"/>
        <v>0</v>
      </c>
    </row>
    <row r="72" spans="1:16" ht="16.5" customHeight="1">
      <c r="A72" s="450" t="s">
        <v>246</v>
      </c>
      <c r="B72" s="576"/>
      <c r="C72" s="577"/>
      <c r="D72" s="578"/>
      <c r="E72" s="451"/>
      <c r="F72" s="451">
        <v>20</v>
      </c>
      <c r="G72" s="451">
        <v>30</v>
      </c>
      <c r="H72" s="451"/>
      <c r="I72" s="451"/>
      <c r="J72" s="451"/>
      <c r="K72" s="440">
        <f t="shared" si="30"/>
        <v>0</v>
      </c>
      <c r="L72" s="440">
        <f t="shared" si="31"/>
        <v>0</v>
      </c>
      <c r="M72" s="440">
        <f t="shared" si="32"/>
        <v>0</v>
      </c>
      <c r="N72" s="440">
        <f t="shared" si="33"/>
        <v>0</v>
      </c>
      <c r="O72" s="440">
        <f t="shared" si="34"/>
        <v>0</v>
      </c>
      <c r="P72" s="440">
        <f t="shared" si="35"/>
        <v>0</v>
      </c>
    </row>
    <row r="73" spans="1:16" ht="16.5" customHeight="1">
      <c r="A73" s="450" t="s">
        <v>247</v>
      </c>
      <c r="B73" s="576"/>
      <c r="C73" s="577"/>
      <c r="D73" s="578"/>
      <c r="E73" s="451">
        <v>12</v>
      </c>
      <c r="F73" s="451">
        <v>24</v>
      </c>
      <c r="G73" s="451">
        <v>12</v>
      </c>
      <c r="H73" s="451">
        <v>2</v>
      </c>
      <c r="I73" s="451"/>
      <c r="J73" s="451">
        <v>2</v>
      </c>
      <c r="K73" s="440">
        <f t="shared" si="30"/>
        <v>0</v>
      </c>
      <c r="L73" s="440">
        <f t="shared" si="31"/>
        <v>0</v>
      </c>
      <c r="M73" s="440">
        <f t="shared" si="32"/>
        <v>0</v>
      </c>
      <c r="N73" s="440">
        <f t="shared" si="33"/>
        <v>0</v>
      </c>
      <c r="O73" s="440">
        <f t="shared" si="34"/>
        <v>0</v>
      </c>
      <c r="P73" s="440">
        <f t="shared" si="35"/>
        <v>0</v>
      </c>
    </row>
    <row r="74" spans="1:16" ht="16.5" customHeight="1">
      <c r="A74" s="450" t="s">
        <v>204</v>
      </c>
      <c r="B74" s="576"/>
      <c r="C74" s="577"/>
      <c r="D74" s="578"/>
      <c r="E74" s="451">
        <v>26</v>
      </c>
      <c r="F74" s="451">
        <v>14</v>
      </c>
      <c r="G74" s="451"/>
      <c r="H74" s="451"/>
      <c r="I74" s="451"/>
      <c r="J74" s="451">
        <v>2</v>
      </c>
      <c r="K74" s="440">
        <f t="shared" si="30"/>
        <v>0</v>
      </c>
      <c r="L74" s="440">
        <f t="shared" si="31"/>
        <v>0</v>
      </c>
      <c r="M74" s="440">
        <f t="shared" si="32"/>
        <v>0</v>
      </c>
      <c r="N74" s="440">
        <f t="shared" si="33"/>
        <v>0</v>
      </c>
      <c r="O74" s="440">
        <f t="shared" si="34"/>
        <v>0</v>
      </c>
      <c r="P74" s="440">
        <f t="shared" si="35"/>
        <v>0</v>
      </c>
    </row>
    <row r="75" spans="1:16" ht="16.5" customHeight="1">
      <c r="A75" s="450" t="s">
        <v>205</v>
      </c>
      <c r="B75" s="576"/>
      <c r="C75" s="577"/>
      <c r="D75" s="578"/>
      <c r="E75" s="451">
        <v>26</v>
      </c>
      <c r="F75" s="451">
        <v>10</v>
      </c>
      <c r="G75" s="451"/>
      <c r="H75" s="451"/>
      <c r="I75" s="451"/>
      <c r="J75" s="451">
        <v>4.4</v>
      </c>
      <c r="K75" s="440">
        <f t="shared" si="30"/>
        <v>0</v>
      </c>
      <c r="L75" s="440">
        <f t="shared" si="31"/>
        <v>0</v>
      </c>
      <c r="M75" s="440">
        <f t="shared" si="32"/>
        <v>0</v>
      </c>
      <c r="N75" s="440">
        <f t="shared" si="33"/>
        <v>0</v>
      </c>
      <c r="O75" s="440">
        <f t="shared" si="34"/>
        <v>0</v>
      </c>
      <c r="P75" s="440">
        <f t="shared" si="35"/>
        <v>0</v>
      </c>
    </row>
    <row r="76" spans="1:16" ht="16.5" customHeight="1">
      <c r="A76" s="450" t="s">
        <v>206</v>
      </c>
      <c r="B76" s="576"/>
      <c r="C76" s="577"/>
      <c r="D76" s="578"/>
      <c r="E76" s="451">
        <v>3</v>
      </c>
      <c r="F76" s="451">
        <v>22</v>
      </c>
      <c r="G76" s="451"/>
      <c r="H76" s="451"/>
      <c r="I76" s="451">
        <v>2</v>
      </c>
      <c r="J76" s="451">
        <v>18</v>
      </c>
      <c r="K76" s="440">
        <f t="shared" si="30"/>
        <v>0</v>
      </c>
      <c r="L76" s="440">
        <f t="shared" si="31"/>
        <v>0</v>
      </c>
      <c r="M76" s="440">
        <f t="shared" si="32"/>
        <v>0</v>
      </c>
      <c r="N76" s="440">
        <f t="shared" si="33"/>
        <v>0</v>
      </c>
      <c r="O76" s="440">
        <f t="shared" si="34"/>
        <v>0</v>
      </c>
      <c r="P76" s="440">
        <f t="shared" si="35"/>
        <v>0</v>
      </c>
    </row>
    <row r="77" spans="1:16" ht="16.5" customHeight="1">
      <c r="A77" s="450" t="s">
        <v>207</v>
      </c>
      <c r="B77" s="576"/>
      <c r="C77" s="577"/>
      <c r="D77" s="578"/>
      <c r="E77" s="451">
        <v>3</v>
      </c>
      <c r="F77" s="451">
        <v>22</v>
      </c>
      <c r="G77" s="451"/>
      <c r="H77" s="451"/>
      <c r="I77" s="451">
        <v>25</v>
      </c>
      <c r="J77" s="451">
        <v>7.2</v>
      </c>
      <c r="K77" s="440">
        <f t="shared" si="30"/>
        <v>0</v>
      </c>
      <c r="L77" s="440">
        <f t="shared" si="31"/>
        <v>0</v>
      </c>
      <c r="M77" s="440">
        <f t="shared" si="32"/>
        <v>0</v>
      </c>
      <c r="N77" s="440">
        <f t="shared" si="33"/>
        <v>0</v>
      </c>
      <c r="O77" s="440">
        <f t="shared" si="34"/>
        <v>0</v>
      </c>
      <c r="P77" s="440">
        <f t="shared" si="35"/>
        <v>0</v>
      </c>
    </row>
    <row r="78" spans="1:16" ht="16.5" customHeight="1">
      <c r="A78" s="452" t="s">
        <v>277</v>
      </c>
      <c r="B78" s="576"/>
      <c r="C78" s="577"/>
      <c r="D78" s="578"/>
      <c r="E78" s="453"/>
      <c r="F78" s="453"/>
      <c r="G78" s="453"/>
      <c r="H78" s="453"/>
      <c r="I78" s="453"/>
      <c r="J78" s="453"/>
      <c r="K78" s="440">
        <f t="shared" si="30"/>
        <v>0</v>
      </c>
      <c r="L78" s="440">
        <f t="shared" si="31"/>
        <v>0</v>
      </c>
      <c r="M78" s="440">
        <f t="shared" si="32"/>
        <v>0</v>
      </c>
      <c r="N78" s="440">
        <f t="shared" si="33"/>
        <v>0</v>
      </c>
      <c r="O78" s="440">
        <f t="shared" si="34"/>
        <v>0</v>
      </c>
      <c r="P78" s="440">
        <f t="shared" si="35"/>
        <v>0</v>
      </c>
    </row>
    <row r="79" spans="1:16" ht="16.5" customHeight="1">
      <c r="A79" s="431"/>
      <c r="B79" s="576"/>
      <c r="C79" s="577"/>
      <c r="D79" s="578"/>
      <c r="E79" s="431"/>
      <c r="F79" s="431"/>
      <c r="G79" s="431"/>
      <c r="H79" s="431"/>
      <c r="I79" s="431"/>
      <c r="J79" s="431"/>
      <c r="K79" s="440">
        <f t="shared" si="30"/>
        <v>0</v>
      </c>
      <c r="L79" s="440">
        <f t="shared" si="31"/>
        <v>0</v>
      </c>
      <c r="M79" s="440">
        <f t="shared" si="32"/>
        <v>0</v>
      </c>
      <c r="N79" s="440">
        <f t="shared" si="33"/>
        <v>0</v>
      </c>
      <c r="O79" s="440">
        <f t="shared" si="34"/>
        <v>0</v>
      </c>
      <c r="P79" s="440">
        <f t="shared" si="35"/>
        <v>0</v>
      </c>
    </row>
    <row r="80" spans="1:16" ht="16.5" customHeight="1">
      <c r="A80" s="431"/>
      <c r="B80" s="576"/>
      <c r="C80" s="577"/>
      <c r="D80" s="578"/>
      <c r="E80" s="431"/>
      <c r="F80" s="431"/>
      <c r="G80" s="431"/>
      <c r="H80" s="431"/>
      <c r="I80" s="431"/>
      <c r="J80" s="431"/>
      <c r="K80" s="440">
        <f t="shared" si="30"/>
        <v>0</v>
      </c>
      <c r="L80" s="440">
        <f t="shared" si="31"/>
        <v>0</v>
      </c>
      <c r="M80" s="440">
        <f t="shared" si="32"/>
        <v>0</v>
      </c>
      <c r="N80" s="440">
        <f t="shared" si="33"/>
        <v>0</v>
      </c>
      <c r="O80" s="440">
        <f t="shared" si="34"/>
        <v>0</v>
      </c>
      <c r="P80" s="440">
        <f t="shared" si="35"/>
        <v>0</v>
      </c>
    </row>
    <row r="81" spans="1:16" ht="16.5" customHeight="1">
      <c r="A81" s="431"/>
      <c r="B81" s="576"/>
      <c r="C81" s="577"/>
      <c r="D81" s="578"/>
      <c r="E81" s="431"/>
      <c r="F81" s="431"/>
      <c r="G81" s="431"/>
      <c r="H81" s="431"/>
      <c r="I81" s="431"/>
      <c r="J81" s="431"/>
      <c r="K81" s="440">
        <f t="shared" si="30"/>
        <v>0</v>
      </c>
      <c r="L81" s="440">
        <f t="shared" si="31"/>
        <v>0</v>
      </c>
      <c r="M81" s="440">
        <f t="shared" si="32"/>
        <v>0</v>
      </c>
      <c r="N81" s="440">
        <f t="shared" si="33"/>
        <v>0</v>
      </c>
      <c r="O81" s="440">
        <f t="shared" si="34"/>
        <v>0</v>
      </c>
      <c r="P81" s="440">
        <f t="shared" si="35"/>
        <v>0</v>
      </c>
    </row>
    <row r="82" spans="1:16" ht="16.5" customHeight="1">
      <c r="A82" s="431"/>
      <c r="B82" s="576"/>
      <c r="C82" s="577"/>
      <c r="D82" s="578"/>
      <c r="E82" s="431"/>
      <c r="F82" s="431"/>
      <c r="G82" s="431"/>
      <c r="H82" s="431"/>
      <c r="I82" s="431"/>
      <c r="J82" s="431"/>
      <c r="K82" s="440">
        <f t="shared" si="30"/>
        <v>0</v>
      </c>
      <c r="L82" s="440">
        <f t="shared" si="31"/>
        <v>0</v>
      </c>
      <c r="M82" s="440">
        <f t="shared" si="32"/>
        <v>0</v>
      </c>
      <c r="N82" s="440">
        <f t="shared" si="33"/>
        <v>0</v>
      </c>
      <c r="O82" s="440">
        <f t="shared" si="34"/>
        <v>0</v>
      </c>
      <c r="P82" s="440">
        <f t="shared" si="35"/>
        <v>0</v>
      </c>
    </row>
    <row r="83" spans="1:16" ht="16.5" customHeight="1">
      <c r="A83" s="431"/>
      <c r="B83" s="576"/>
      <c r="C83" s="577"/>
      <c r="D83" s="578"/>
      <c r="E83" s="431"/>
      <c r="F83" s="431"/>
      <c r="G83" s="431"/>
      <c r="H83" s="431"/>
      <c r="I83" s="431"/>
      <c r="J83" s="431"/>
      <c r="K83" s="440">
        <f t="shared" si="30"/>
        <v>0</v>
      </c>
      <c r="L83" s="440">
        <f t="shared" si="31"/>
        <v>0</v>
      </c>
      <c r="M83" s="440">
        <f t="shared" si="32"/>
        <v>0</v>
      </c>
      <c r="N83" s="440">
        <f t="shared" si="33"/>
        <v>0</v>
      </c>
      <c r="O83" s="440">
        <f t="shared" si="34"/>
        <v>0</v>
      </c>
      <c r="P83" s="440">
        <f t="shared" si="35"/>
        <v>0</v>
      </c>
    </row>
    <row r="84" spans="1:16" ht="16.5" customHeight="1">
      <c r="A84" s="431"/>
      <c r="B84" s="576"/>
      <c r="C84" s="577"/>
      <c r="D84" s="578"/>
      <c r="E84" s="431"/>
      <c r="F84" s="431"/>
      <c r="G84" s="431"/>
      <c r="H84" s="431"/>
      <c r="I84" s="431"/>
      <c r="J84" s="431"/>
      <c r="K84" s="440">
        <f t="shared" si="30"/>
        <v>0</v>
      </c>
      <c r="L84" s="440">
        <f t="shared" si="31"/>
        <v>0</v>
      </c>
      <c r="M84" s="440">
        <f t="shared" si="32"/>
        <v>0</v>
      </c>
      <c r="N84" s="440">
        <f t="shared" si="33"/>
        <v>0</v>
      </c>
      <c r="O84" s="440">
        <f t="shared" si="34"/>
        <v>0</v>
      </c>
      <c r="P84" s="440">
        <f t="shared" si="35"/>
        <v>0</v>
      </c>
    </row>
    <row r="85" spans="1:16" ht="16.5" customHeight="1" thickBot="1">
      <c r="A85" s="431"/>
      <c r="B85" s="576"/>
      <c r="C85" s="577"/>
      <c r="D85" s="578"/>
      <c r="E85" s="431"/>
      <c r="F85" s="431"/>
      <c r="G85" s="431"/>
      <c r="H85" s="431"/>
      <c r="I85" s="431"/>
      <c r="J85" s="431"/>
      <c r="K85" s="440">
        <f t="shared" si="30"/>
        <v>0</v>
      </c>
      <c r="L85" s="440">
        <f t="shared" si="31"/>
        <v>0</v>
      </c>
      <c r="M85" s="440">
        <f t="shared" si="32"/>
        <v>0</v>
      </c>
      <c r="N85" s="440">
        <f t="shared" si="33"/>
        <v>0</v>
      </c>
      <c r="O85" s="440">
        <f t="shared" si="34"/>
        <v>0</v>
      </c>
      <c r="P85" s="440">
        <f t="shared" si="35"/>
        <v>0</v>
      </c>
    </row>
    <row r="86" spans="1:16" ht="15">
      <c r="A86" s="403" t="s">
        <v>108</v>
      </c>
      <c r="B86" s="600">
        <f>SUM(B5:B85)</f>
        <v>0</v>
      </c>
      <c r="C86" s="601"/>
      <c r="D86" s="602"/>
      <c r="E86" s="404"/>
      <c r="F86" s="404"/>
      <c r="G86" s="404"/>
      <c r="H86" s="404"/>
      <c r="I86" s="404"/>
      <c r="J86" s="404"/>
      <c r="K86" s="441">
        <f aca="true" t="shared" si="36" ref="K86:P86">SUM(K5:K85)</f>
        <v>0</v>
      </c>
      <c r="L86" s="442">
        <f t="shared" si="36"/>
        <v>0</v>
      </c>
      <c r="M86" s="443">
        <f t="shared" si="36"/>
        <v>0</v>
      </c>
      <c r="N86" s="444">
        <f t="shared" si="36"/>
        <v>0</v>
      </c>
      <c r="O86" s="445">
        <f t="shared" si="36"/>
        <v>0</v>
      </c>
      <c r="P86" s="445">
        <f t="shared" si="36"/>
        <v>0</v>
      </c>
    </row>
    <row r="87" spans="1:16" ht="18">
      <c r="A87" s="500"/>
      <c r="B87" s="448"/>
      <c r="C87" s="448"/>
      <c r="D87" s="405"/>
      <c r="E87" s="405"/>
      <c r="F87" s="405"/>
      <c r="G87" s="405"/>
      <c r="H87" s="405"/>
      <c r="I87" s="405"/>
      <c r="J87" s="405"/>
      <c r="K87" s="410" t="s">
        <v>66</v>
      </c>
      <c r="L87" s="406" t="s">
        <v>223</v>
      </c>
      <c r="M87" s="411" t="s">
        <v>224</v>
      </c>
      <c r="N87" s="408" t="s">
        <v>192</v>
      </c>
      <c r="O87" s="406" t="s">
        <v>193</v>
      </c>
      <c r="P87" s="406" t="s">
        <v>191</v>
      </c>
    </row>
    <row r="88" spans="1:16" ht="15.75" thickBot="1">
      <c r="A88" s="405"/>
      <c r="B88" s="405"/>
      <c r="C88" s="405"/>
      <c r="D88" s="405"/>
      <c r="E88" s="405"/>
      <c r="F88" s="405"/>
      <c r="G88" s="405"/>
      <c r="H88" s="405"/>
      <c r="I88" s="405"/>
      <c r="J88" s="405"/>
      <c r="K88" s="412" t="s">
        <v>218</v>
      </c>
      <c r="L88" s="413" t="s">
        <v>218</v>
      </c>
      <c r="M88" s="414" t="s">
        <v>218</v>
      </c>
      <c r="N88" s="409" t="s">
        <v>218</v>
      </c>
      <c r="O88" s="407" t="s">
        <v>218</v>
      </c>
      <c r="P88" s="407" t="s">
        <v>218</v>
      </c>
    </row>
    <row r="89" spans="11:16" ht="15" customHeight="1">
      <c r="K89" s="597" t="s">
        <v>306</v>
      </c>
      <c r="L89" s="597"/>
      <c r="M89" s="597"/>
      <c r="N89" s="597"/>
      <c r="O89" s="597"/>
      <c r="P89" s="597"/>
    </row>
    <row r="90" spans="11:16" ht="14.25">
      <c r="K90" s="597"/>
      <c r="L90" s="597"/>
      <c r="M90" s="597"/>
      <c r="N90" s="597"/>
      <c r="O90" s="597"/>
      <c r="P90" s="597"/>
    </row>
    <row r="91" spans="11:16" ht="14.25">
      <c r="K91" s="597"/>
      <c r="L91" s="597"/>
      <c r="M91" s="597"/>
      <c r="N91" s="597"/>
      <c r="O91" s="597"/>
      <c r="P91" s="597"/>
    </row>
    <row r="92" spans="11:16" ht="14.25">
      <c r="K92" s="597"/>
      <c r="L92" s="597"/>
      <c r="M92" s="597"/>
      <c r="N92" s="597"/>
      <c r="O92" s="597"/>
      <c r="P92" s="597"/>
    </row>
    <row r="93" spans="11:16" ht="14.25">
      <c r="K93" s="597"/>
      <c r="L93" s="597"/>
      <c r="M93" s="597"/>
      <c r="N93" s="597"/>
      <c r="O93" s="597"/>
      <c r="P93" s="597"/>
    </row>
    <row r="94" spans="11:16" ht="14.25">
      <c r="K94" s="597"/>
      <c r="L94" s="597"/>
      <c r="M94" s="597"/>
      <c r="N94" s="597"/>
      <c r="O94" s="597"/>
      <c r="P94" s="597"/>
    </row>
    <row r="95" spans="11:16" ht="14.25">
      <c r="K95" s="597"/>
      <c r="L95" s="597"/>
      <c r="M95" s="597"/>
      <c r="N95" s="597"/>
      <c r="O95" s="597"/>
      <c r="P95" s="597"/>
    </row>
    <row r="96" spans="11:16" ht="14.25">
      <c r="K96" s="597"/>
      <c r="L96" s="597"/>
      <c r="M96" s="597"/>
      <c r="N96" s="597"/>
      <c r="O96" s="597"/>
      <c r="P96" s="597"/>
    </row>
    <row r="97" spans="11:16" ht="14.25">
      <c r="K97" s="597"/>
      <c r="L97" s="597"/>
      <c r="M97" s="597"/>
      <c r="N97" s="597"/>
      <c r="O97" s="597"/>
      <c r="P97" s="597"/>
    </row>
  </sheetData>
  <sheetProtection password="DEBF" sheet="1" objects="1" scenarios="1" selectLockedCells="1"/>
  <mergeCells count="93">
    <mergeCell ref="B46:D46"/>
    <mergeCell ref="B36:D36"/>
    <mergeCell ref="B80:D80"/>
    <mergeCell ref="B71:D71"/>
    <mergeCell ref="B72:D72"/>
    <mergeCell ref="B73:D73"/>
    <mergeCell ref="R63:X65"/>
    <mergeCell ref="K89:P97"/>
    <mergeCell ref="K1:P1"/>
    <mergeCell ref="B79:D79"/>
    <mergeCell ref="B86:D86"/>
    <mergeCell ref="B62:D62"/>
    <mergeCell ref="B55:D55"/>
    <mergeCell ref="B84:D84"/>
    <mergeCell ref="B85:D85"/>
    <mergeCell ref="B74:D74"/>
    <mergeCell ref="B75:D75"/>
    <mergeCell ref="B76:D76"/>
    <mergeCell ref="B77:D77"/>
    <mergeCell ref="B78:D78"/>
    <mergeCell ref="B81:D81"/>
    <mergeCell ref="B82:D82"/>
    <mergeCell ref="B83:D83"/>
    <mergeCell ref="B70:D70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B68:D68"/>
    <mergeCell ref="B69:D69"/>
    <mergeCell ref="B57:D57"/>
    <mergeCell ref="B44:D44"/>
    <mergeCell ref="B45:D45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43:D43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1:D41"/>
    <mergeCell ref="B42:D42"/>
    <mergeCell ref="B30:D30"/>
    <mergeCell ref="B27:D2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B12:D12"/>
    <mergeCell ref="B13:D13"/>
    <mergeCell ref="B14:D14"/>
    <mergeCell ref="B15:D15"/>
    <mergeCell ref="B16:D16"/>
    <mergeCell ref="R29:U33"/>
    <mergeCell ref="R38:U42"/>
    <mergeCell ref="A1:A3"/>
    <mergeCell ref="E1:J1"/>
    <mergeCell ref="S1:U3"/>
    <mergeCell ref="B1:D2"/>
    <mergeCell ref="B6:D6"/>
    <mergeCell ref="B5:D5"/>
    <mergeCell ref="R6:U10"/>
    <mergeCell ref="B17:D17"/>
    <mergeCell ref="B7:D7"/>
    <mergeCell ref="B8:D8"/>
    <mergeCell ref="B4:D4"/>
    <mergeCell ref="B9:D9"/>
    <mergeCell ref="B10:D10"/>
    <mergeCell ref="B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Antonin Dostal</cp:lastModifiedBy>
  <dcterms:created xsi:type="dcterms:W3CDTF">2017-06-20T21:10:44Z</dcterms:created>
  <dcterms:modified xsi:type="dcterms:W3CDTF">2018-03-25T18:41:14Z</dcterms:modified>
  <cp:category/>
  <cp:version/>
  <cp:contentType/>
  <cp:contentStatus/>
</cp:coreProperties>
</file>